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showInkAnnotation="0" codeName="DieseArbeitsmappe" defaultThemeVersion="124226"/>
  <mc:AlternateContent xmlns:mc="http://schemas.openxmlformats.org/markup-compatibility/2006">
    <mc:Choice Requires="x15">
      <x15ac:absPath xmlns:x15ac="http://schemas.microsoft.com/office/spreadsheetml/2010/11/ac" url="C:\Users\Walter\Desktop\"/>
    </mc:Choice>
  </mc:AlternateContent>
  <bookViews>
    <workbookView xWindow="-120" yWindow="-120" windowWidth="29040" windowHeight="15840"/>
  </bookViews>
  <sheets>
    <sheet name="SpB m Gassen" sheetId="9" r:id="rId1"/>
    <sheet name="SpB" sheetId="2" r:id="rId2"/>
    <sheet name="Ausfüllhilfe" sheetId="3" r:id="rId3"/>
  </sheets>
  <definedNames>
    <definedName name="BAHN">'SpB m Gassen'!$P$10</definedName>
    <definedName name="BULI_AR">'SpB m Gassen'!$Q$8</definedName>
    <definedName name="BULI_DA">'SpB m Gassen'!$Q$5</definedName>
    <definedName name="BULI_HE_1">'SpB m Gassen'!$Q$2</definedName>
    <definedName name="BULI_HE_N">'SpB m Gassen'!$Q$4</definedName>
    <definedName name="BULI_HE_S">'SpB m Gassen'!$Q$3</definedName>
    <definedName name="BULI_MR">'SpB m Gassen'!$Q$7</definedName>
    <definedName name="_xlnm.Print_Area" localSheetId="1">SpB!$A$1:$U$60</definedName>
    <definedName name="_xlnm.Print_Area" localSheetId="0">'SpB m Gassen'!$A:$V</definedName>
    <definedName name="_xlnm.Print_Titles" localSheetId="2">Ausfüllhilfe!$1:$2</definedName>
    <definedName name="GAST_1">'SpB m Gassen'!$B$28</definedName>
    <definedName name="GAST_2">'SpB m Gassen'!$B$41</definedName>
    <definedName name="GAST_3">'SpB m Gassen'!$B$54</definedName>
    <definedName name="GASTGEBER">'SpB m Gassen'!$B$15</definedName>
    <definedName name="PASS_NR_SUCHEN">#REF!</definedName>
    <definedName name="SPIELDATUM">'SpB m Gassen'!$C$12</definedName>
    <definedName name="SPIELERDATEN">#REF!</definedName>
    <definedName name="SPIELORT">'SpB m Gassen'!$B$10</definedName>
    <definedName name="SPNR">'SpB m Gassen'!$P$12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5" i="9" l="1"/>
  <c r="R46" i="9"/>
  <c r="R47" i="9"/>
  <c r="R48" i="9"/>
  <c r="F48" i="9"/>
  <c r="R49" i="9"/>
  <c r="R50" i="9"/>
  <c r="T51" i="9"/>
  <c r="O12" i="2"/>
  <c r="C12" i="2"/>
  <c r="R19" i="9"/>
  <c r="O19" i="9"/>
  <c r="R32" i="9"/>
  <c r="O32" i="9"/>
  <c r="O45" i="9"/>
  <c r="R58" i="9"/>
  <c r="O58" i="9"/>
  <c r="Q2" i="2"/>
  <c r="X25" i="9"/>
  <c r="X38" i="9"/>
  <c r="R37" i="9"/>
  <c r="R36" i="9"/>
  <c r="R35" i="9"/>
  <c r="R34" i="9"/>
  <c r="R33" i="9"/>
  <c r="R24" i="9"/>
  <c r="R23" i="9"/>
  <c r="R22" i="9"/>
  <c r="R21" i="9"/>
  <c r="R20" i="9"/>
  <c r="AC3" i="9"/>
  <c r="AB3" i="9"/>
  <c r="AA3" i="9"/>
  <c r="E56" i="9"/>
  <c r="H56" i="9" s="1"/>
  <c r="K56" i="9" s="1"/>
  <c r="N56" i="9" s="1"/>
  <c r="E43" i="9"/>
  <c r="H43" i="9" s="1"/>
  <c r="K43" i="9" s="1"/>
  <c r="N43" i="9" s="1"/>
  <c r="E30" i="9"/>
  <c r="H30" i="9" s="1"/>
  <c r="K30" i="9" s="1"/>
  <c r="N30" i="9" s="1"/>
  <c r="A3" i="3"/>
  <c r="A4" i="3"/>
  <c r="A5" i="3"/>
  <c r="A6" i="3"/>
  <c r="A7" i="3"/>
  <c r="A8" i="3"/>
  <c r="A9" i="3"/>
  <c r="A10" i="3"/>
  <c r="A11" i="3"/>
  <c r="A13" i="3"/>
  <c r="A14" i="3"/>
  <c r="W2" i="2"/>
  <c r="P2" i="2" s="1"/>
  <c r="W3" i="2"/>
  <c r="P3" i="2" s="1"/>
  <c r="W4" i="2"/>
  <c r="P4" i="2" s="1"/>
  <c r="W5" i="2"/>
  <c r="P5" i="2" s="1"/>
  <c r="W7" i="2"/>
  <c r="P7" i="2" s="1"/>
  <c r="W8" i="2"/>
  <c r="P8" i="2" s="1"/>
  <c r="B10" i="2"/>
  <c r="O10" i="2"/>
  <c r="Q10" i="2" s="1"/>
  <c r="N12" i="2"/>
  <c r="B15" i="2"/>
  <c r="L15" i="2"/>
  <c r="Y18" i="2"/>
  <c r="AB18" i="2"/>
  <c r="AD18" i="2"/>
  <c r="W19" i="2"/>
  <c r="AD19" i="2" s="1"/>
  <c r="W20" i="2"/>
  <c r="Y19" i="2"/>
  <c r="AB19" i="2"/>
  <c r="Y20" i="2"/>
  <c r="AB20" i="2"/>
  <c r="Y21" i="2"/>
  <c r="AB21" i="2"/>
  <c r="Y22" i="2"/>
  <c r="AB22" i="2"/>
  <c r="Y23" i="2"/>
  <c r="AB23" i="2"/>
  <c r="AC24" i="2"/>
  <c r="AD24" i="2"/>
  <c r="AE24" i="2"/>
  <c r="AC25" i="2"/>
  <c r="AD25" i="2"/>
  <c r="AE25" i="2"/>
  <c r="B30" i="2"/>
  <c r="L30" i="2"/>
  <c r="Y33" i="2"/>
  <c r="AB33" i="2"/>
  <c r="Y34" i="2"/>
  <c r="AB34" i="2"/>
  <c r="Y35" i="2"/>
  <c r="AB35" i="2"/>
  <c r="Y36" i="2"/>
  <c r="AB36" i="2"/>
  <c r="Y37" i="2"/>
  <c r="AB37" i="2"/>
  <c r="Y38" i="2"/>
  <c r="AB38" i="2"/>
  <c r="AC39" i="2"/>
  <c r="AD39" i="2"/>
  <c r="AE39" i="2"/>
  <c r="AC40" i="2"/>
  <c r="AD40" i="2"/>
  <c r="AE40" i="2"/>
  <c r="A47" i="2"/>
  <c r="A48" i="2"/>
  <c r="A49" i="2"/>
  <c r="A50" i="2"/>
  <c r="AD4" i="9"/>
  <c r="AB4" i="9" s="1"/>
  <c r="R10" i="9"/>
  <c r="E17" i="9"/>
  <c r="H17" i="9" s="1"/>
  <c r="K17" i="9" s="1"/>
  <c r="N17" i="9" s="1"/>
  <c r="T25" i="9"/>
  <c r="T64" i="9"/>
  <c r="O62" i="9"/>
  <c r="O63" i="9"/>
  <c r="L62" i="9"/>
  <c r="I48" i="9"/>
  <c r="I49" i="9"/>
  <c r="I58" i="9"/>
  <c r="I61" i="9"/>
  <c r="I62" i="9"/>
  <c r="O23" i="9"/>
  <c r="F32" i="9"/>
  <c r="L45" i="9"/>
  <c r="L47" i="9"/>
  <c r="L48" i="9"/>
  <c r="F49" i="9"/>
  <c r="L49" i="9"/>
  <c r="F58" i="9"/>
  <c r="L58" i="9"/>
  <c r="L60" i="9"/>
  <c r="F61" i="9"/>
  <c r="L61" i="9"/>
  <c r="F62" i="9"/>
  <c r="L59" i="9"/>
  <c r="O59" i="9"/>
  <c r="O34" i="9"/>
  <c r="O35" i="9"/>
  <c r="O36" i="9"/>
  <c r="L63" i="9"/>
  <c r="L50" i="9"/>
  <c r="F35" i="9"/>
  <c r="F36" i="9"/>
  <c r="F45" i="9"/>
  <c r="L46" i="9"/>
  <c r="O49" i="9"/>
  <c r="I50" i="9"/>
  <c r="O50" i="9"/>
  <c r="I59" i="9"/>
  <c r="F60" i="9"/>
  <c r="O61" i="9"/>
  <c r="I63" i="9"/>
  <c r="I45" i="9"/>
  <c r="I60" i="9"/>
  <c r="O46" i="9"/>
  <c r="F59" i="9"/>
  <c r="O60" i="9"/>
  <c r="F63" i="9"/>
  <c r="R62" i="9"/>
  <c r="R60" i="9"/>
  <c r="L37" i="9"/>
  <c r="I47" i="9"/>
  <c r="L33" i="9"/>
  <c r="I37" i="9"/>
  <c r="O37" i="9"/>
  <c r="I46" i="9"/>
  <c r="F47" i="9"/>
  <c r="O48" i="9"/>
  <c r="R63" i="9"/>
  <c r="R61" i="9"/>
  <c r="R59" i="9"/>
  <c r="I24" i="9"/>
  <c r="O20" i="9"/>
  <c r="I32" i="9"/>
  <c r="I33" i="9"/>
  <c r="O33" i="9"/>
  <c r="I34" i="9"/>
  <c r="F46" i="9"/>
  <c r="O47" i="9"/>
  <c r="F50" i="9"/>
  <c r="F34" i="9"/>
  <c r="L35" i="9"/>
  <c r="I36" i="9"/>
  <c r="F33" i="9"/>
  <c r="I35" i="9"/>
  <c r="F37" i="9"/>
  <c r="O22" i="9"/>
  <c r="I19" i="9"/>
  <c r="L19" i="9"/>
  <c r="L21" i="9"/>
  <c r="L23" i="9"/>
  <c r="O24" i="9"/>
  <c r="L32" i="9"/>
  <c r="L34" i="9"/>
  <c r="L36" i="9"/>
  <c r="O21" i="9"/>
  <c r="I22" i="9"/>
  <c r="I21" i="9"/>
  <c r="I23" i="9"/>
  <c r="L24" i="9"/>
  <c r="L20" i="9"/>
  <c r="L22" i="9"/>
  <c r="F22" i="9"/>
  <c r="I20" i="9"/>
  <c r="F24" i="9"/>
  <c r="F20" i="9"/>
  <c r="F21" i="9"/>
  <c r="F19" i="9"/>
  <c r="F23" i="9"/>
  <c r="AA4" i="9"/>
  <c r="S50" i="2"/>
  <c r="S49" i="2"/>
  <c r="K49" i="2" s="1"/>
  <c r="K50" i="2"/>
  <c r="S48" i="2"/>
  <c r="K48" i="2" s="1"/>
  <c r="S47" i="2"/>
  <c r="K47" i="2" s="1"/>
  <c r="T38" i="9"/>
  <c r="W33" i="2"/>
  <c r="AD20" i="2"/>
  <c r="C19" i="2"/>
  <c r="E18" i="2"/>
  <c r="K20" i="2"/>
  <c r="A18" i="2"/>
  <c r="A19" i="2"/>
  <c r="E19" i="2"/>
  <c r="F19" i="2"/>
  <c r="O18" i="2"/>
  <c r="M20" i="2"/>
  <c r="O20" i="2"/>
  <c r="T20" i="2"/>
  <c r="B19" i="2"/>
  <c r="C20" i="2"/>
  <c r="I33" i="2"/>
  <c r="B18" i="2"/>
  <c r="I18" i="2"/>
  <c r="D18" i="2"/>
  <c r="C18" i="2"/>
  <c r="M18" i="2"/>
  <c r="P20" i="2"/>
  <c r="D19" i="2"/>
  <c r="F18" i="2"/>
  <c r="I19" i="2"/>
  <c r="S48" i="9" l="1"/>
  <c r="AD5" i="9"/>
  <c r="S37" i="9"/>
  <c r="U37" i="9" s="1"/>
  <c r="S61" i="9"/>
  <c r="U61" i="9" s="1"/>
  <c r="AC4" i="9"/>
  <c r="S58" i="9"/>
  <c r="U58" i="9" s="1"/>
  <c r="S47" i="9"/>
  <c r="U47" i="9" s="1"/>
  <c r="S36" i="9"/>
  <c r="U36" i="9" s="1"/>
  <c r="S34" i="9"/>
  <c r="U34" i="9" s="1"/>
  <c r="S23" i="9"/>
  <c r="S63" i="9"/>
  <c r="U63" i="9" s="1"/>
  <c r="S62" i="9"/>
  <c r="U62" i="9" s="1"/>
  <c r="S60" i="9"/>
  <c r="U60" i="9" s="1"/>
  <c r="S59" i="9"/>
  <c r="U59" i="9" s="1"/>
  <c r="S50" i="9"/>
  <c r="U50" i="9" s="1"/>
  <c r="S49" i="9"/>
  <c r="U49" i="9" s="1"/>
  <c r="U48" i="9"/>
  <c r="R51" i="9"/>
  <c r="S46" i="9"/>
  <c r="U46" i="9" s="1"/>
  <c r="S45" i="9"/>
  <c r="S35" i="9"/>
  <c r="U35" i="9" s="1"/>
  <c r="S33" i="9"/>
  <c r="U33" i="9" s="1"/>
  <c r="S32" i="9"/>
  <c r="R38" i="9"/>
  <c r="S24" i="9"/>
  <c r="U24" i="9" s="1"/>
  <c r="U23" i="9"/>
  <c r="S22" i="9"/>
  <c r="U22" i="9" s="1"/>
  <c r="S21" i="9"/>
  <c r="U21" i="9" s="1"/>
  <c r="S20" i="9"/>
  <c r="S19" i="9"/>
  <c r="U19" i="9" s="1"/>
  <c r="U32" i="9"/>
  <c r="W21" i="2"/>
  <c r="R64" i="9"/>
  <c r="W34" i="2"/>
  <c r="R25" i="9"/>
  <c r="AD33" i="2"/>
  <c r="U48" i="2"/>
  <c r="U50" i="2"/>
  <c r="U49" i="2"/>
  <c r="U47" i="2"/>
  <c r="C33" i="2"/>
  <c r="X50" i="9"/>
  <c r="X49" i="9"/>
  <c r="T19" i="2"/>
  <c r="X37" i="9"/>
  <c r="X33" i="9"/>
  <c r="F33" i="2"/>
  <c r="X46" i="9"/>
  <c r="X21" i="9"/>
  <c r="L18" i="2"/>
  <c r="M19" i="2"/>
  <c r="S19" i="2"/>
  <c r="D20" i="2"/>
  <c r="X59" i="9"/>
  <c r="O19" i="2"/>
  <c r="S20" i="2"/>
  <c r="H20" i="2"/>
  <c r="U18" i="2"/>
  <c r="A33" i="2"/>
  <c r="X62" i="9"/>
  <c r="Q18" i="2"/>
  <c r="T18" i="2"/>
  <c r="X34" i="9"/>
  <c r="U20" i="2"/>
  <c r="H18" i="2"/>
  <c r="X58" i="9"/>
  <c r="P19" i="2"/>
  <c r="F20" i="2"/>
  <c r="X24" i="9"/>
  <c r="L19" i="2"/>
  <c r="K19" i="2"/>
  <c r="X47" i="9"/>
  <c r="X61" i="9"/>
  <c r="Q20" i="2"/>
  <c r="H33" i="2"/>
  <c r="X23" i="9"/>
  <c r="S18" i="2"/>
  <c r="X35" i="9"/>
  <c r="A20" i="2"/>
  <c r="Q19" i="2"/>
  <c r="J20" i="2"/>
  <c r="Z20" i="2"/>
  <c r="K18" i="2"/>
  <c r="J18" i="2"/>
  <c r="X63" i="9"/>
  <c r="L20" i="2"/>
  <c r="I20" i="2"/>
  <c r="X32" i="9"/>
  <c r="D33" i="2"/>
  <c r="P18" i="2"/>
  <c r="H19" i="2"/>
  <c r="X48" i="9"/>
  <c r="U19" i="2"/>
  <c r="E20" i="2"/>
  <c r="X60" i="9"/>
  <c r="B33" i="2"/>
  <c r="X36" i="9"/>
  <c r="E33" i="2"/>
  <c r="X22" i="9"/>
  <c r="B20" i="2"/>
  <c r="X19" i="9"/>
  <c r="Z58" i="9" l="1"/>
  <c r="Z37" i="9"/>
  <c r="Z61" i="9"/>
  <c r="AA5" i="9"/>
  <c r="AD6" i="9"/>
  <c r="AC5" i="9"/>
  <c r="AB5" i="9"/>
  <c r="S64" i="9"/>
  <c r="Z47" i="9"/>
  <c r="S51" i="9"/>
  <c r="U45" i="9"/>
  <c r="Z36" i="9"/>
  <c r="Z34" i="9"/>
  <c r="S38" i="9"/>
  <c r="Z62" i="9"/>
  <c r="Z60" i="9"/>
  <c r="Z50" i="9"/>
  <c r="Z49" i="9"/>
  <c r="Z48" i="9"/>
  <c r="Z46" i="9"/>
  <c r="Z35" i="9"/>
  <c r="Z33" i="9"/>
  <c r="Z24" i="9"/>
  <c r="Z23" i="9"/>
  <c r="Z22" i="9"/>
  <c r="Z21" i="9"/>
  <c r="S25" i="9"/>
  <c r="U20" i="9"/>
  <c r="U25" i="9" s="1"/>
  <c r="X20" i="2"/>
  <c r="Z59" i="9"/>
  <c r="Z63" i="9"/>
  <c r="Z19" i="9"/>
  <c r="Z32" i="9"/>
  <c r="U64" i="9"/>
  <c r="U51" i="9"/>
  <c r="U38" i="9"/>
  <c r="W22" i="2"/>
  <c r="AD21" i="2"/>
  <c r="AD34" i="2"/>
  <c r="W35" i="2"/>
  <c r="V48" i="9"/>
  <c r="V50" i="9"/>
  <c r="V32" i="9"/>
  <c r="O33" i="2"/>
  <c r="M33" i="2"/>
  <c r="I21" i="2"/>
  <c r="V24" i="9"/>
  <c r="A34" i="2"/>
  <c r="J19" i="2"/>
  <c r="F34" i="2"/>
  <c r="V35" i="9"/>
  <c r="V46" i="9"/>
  <c r="I34" i="2"/>
  <c r="AA20" i="2"/>
  <c r="A21" i="2"/>
  <c r="V33" i="9"/>
  <c r="V34" i="9"/>
  <c r="AA19" i="2"/>
  <c r="B21" i="2"/>
  <c r="C34" i="2"/>
  <c r="H34" i="2"/>
  <c r="V63" i="9"/>
  <c r="V61" i="9"/>
  <c r="X4" i="9"/>
  <c r="V21" i="9"/>
  <c r="E21" i="2"/>
  <c r="D34" i="2"/>
  <c r="U33" i="2"/>
  <c r="E34" i="2"/>
  <c r="G20" i="2"/>
  <c r="J21" i="2"/>
  <c r="X5" i="9"/>
  <c r="X45" i="9"/>
  <c r="H21" i="2"/>
  <c r="V23" i="9"/>
  <c r="Q33" i="2"/>
  <c r="L33" i="2"/>
  <c r="S33" i="2"/>
  <c r="D21" i="2"/>
  <c r="V37" i="9"/>
  <c r="P33" i="2"/>
  <c r="V59" i="9"/>
  <c r="V22" i="9"/>
  <c r="V60" i="9"/>
  <c r="T33" i="2"/>
  <c r="V62" i="9"/>
  <c r="X20" i="9"/>
  <c r="K33" i="2"/>
  <c r="AA18" i="2"/>
  <c r="J34" i="2"/>
  <c r="Z18" i="2"/>
  <c r="V19" i="9"/>
  <c r="B34" i="2"/>
  <c r="F21" i="2"/>
  <c r="J33" i="2"/>
  <c r="V47" i="9"/>
  <c r="C21" i="2"/>
  <c r="V58" i="9"/>
  <c r="V36" i="9"/>
  <c r="V49" i="9"/>
  <c r="X3" i="9"/>
  <c r="AA6" i="9" l="1"/>
  <c r="AB6" i="9"/>
  <c r="AC6" i="9"/>
  <c r="Z45" i="9"/>
  <c r="Z20" i="9"/>
  <c r="X15" i="9"/>
  <c r="Y50" i="9" s="1"/>
  <c r="X18" i="2"/>
  <c r="AC18" i="2"/>
  <c r="AC19" i="2"/>
  <c r="AC20" i="2"/>
  <c r="V38" i="9"/>
  <c r="V64" i="9"/>
  <c r="D38" i="9"/>
  <c r="D51" i="9"/>
  <c r="AD35" i="2"/>
  <c r="W36" i="2"/>
  <c r="D64" i="9"/>
  <c r="W23" i="2"/>
  <c r="AD22" i="2"/>
  <c r="D25" i="9"/>
  <c r="S34" i="2"/>
  <c r="AE4" i="9"/>
  <c r="V45" i="9"/>
  <c r="R19" i="2"/>
  <c r="E35" i="2"/>
  <c r="AA33" i="2"/>
  <c r="F35" i="2"/>
  <c r="O34" i="2"/>
  <c r="R18" i="2"/>
  <c r="K21" i="2"/>
  <c r="S21" i="2"/>
  <c r="L21" i="2"/>
  <c r="Q21" i="2"/>
  <c r="A22" i="2"/>
  <c r="Z33" i="2"/>
  <c r="M34" i="2"/>
  <c r="P21" i="2"/>
  <c r="T34" i="2"/>
  <c r="H35" i="2"/>
  <c r="P34" i="2"/>
  <c r="B22" i="2"/>
  <c r="Z21" i="2"/>
  <c r="J22" i="2"/>
  <c r="D22" i="2"/>
  <c r="B35" i="2"/>
  <c r="U34" i="2"/>
  <c r="H22" i="2"/>
  <c r="U21" i="2"/>
  <c r="F22" i="2"/>
  <c r="E22" i="2"/>
  <c r="J35" i="2"/>
  <c r="V20" i="9"/>
  <c r="T21" i="2"/>
  <c r="I35" i="2"/>
  <c r="X6" i="9"/>
  <c r="Z19" i="2"/>
  <c r="Q34" i="2"/>
  <c r="O21" i="2"/>
  <c r="I22" i="2"/>
  <c r="R20" i="2"/>
  <c r="K34" i="2"/>
  <c r="A35" i="2"/>
  <c r="AE6" i="9"/>
  <c r="M21" i="2"/>
  <c r="C22" i="2"/>
  <c r="G18" i="2"/>
  <c r="Z34" i="2"/>
  <c r="C35" i="2"/>
  <c r="L34" i="2"/>
  <c r="D35" i="2"/>
  <c r="X33" i="2" l="1"/>
  <c r="X34" i="2"/>
  <c r="X19" i="2"/>
  <c r="X21" i="2"/>
  <c r="Z4" i="9"/>
  <c r="Z3" i="9"/>
  <c r="Z5" i="9"/>
  <c r="Z6" i="9"/>
  <c r="Y1" i="9"/>
  <c r="Y4" i="9" s="1"/>
  <c r="V51" i="9"/>
  <c r="Y24" i="9"/>
  <c r="Y20" i="9"/>
  <c r="Y59" i="9"/>
  <c r="Y36" i="9"/>
  <c r="Y63" i="9"/>
  <c r="Y58" i="9"/>
  <c r="Y46" i="9"/>
  <c r="Y47" i="9"/>
  <c r="Y62" i="9"/>
  <c r="Y23" i="9"/>
  <c r="Y32" i="9"/>
  <c r="Y33" i="9"/>
  <c r="K54" i="9"/>
  <c r="K41" i="9"/>
  <c r="K15" i="9"/>
  <c r="Y37" i="9"/>
  <c r="Y49" i="9"/>
  <c r="Y34" i="9"/>
  <c r="Y60" i="9"/>
  <c r="K40" i="9"/>
  <c r="K53" i="9"/>
  <c r="Y45" i="9"/>
  <c r="Y21" i="9"/>
  <c r="K27" i="9"/>
  <c r="K14" i="9"/>
  <c r="Y22" i="9"/>
  <c r="Y19" i="9"/>
  <c r="Z15" i="9" s="1"/>
  <c r="Y48" i="9"/>
  <c r="Y35" i="9"/>
  <c r="V25" i="9"/>
  <c r="K28" i="9"/>
  <c r="Y61" i="9"/>
  <c r="AC33" i="2"/>
  <c r="AD36" i="2"/>
  <c r="W37" i="2"/>
  <c r="AD23" i="2"/>
  <c r="H36" i="2"/>
  <c r="U22" i="2"/>
  <c r="M22" i="2"/>
  <c r="AA38" i="9"/>
  <c r="G19" i="2"/>
  <c r="C36" i="2"/>
  <c r="B23" i="2"/>
  <c r="L35" i="2"/>
  <c r="J23" i="2"/>
  <c r="AE3" i="9"/>
  <c r="B36" i="2"/>
  <c r="A23" i="2"/>
  <c r="H23" i="2"/>
  <c r="T22" i="2"/>
  <c r="Q22" i="2"/>
  <c r="P22" i="2"/>
  <c r="E36" i="2"/>
  <c r="AA34" i="2"/>
  <c r="G21" i="2"/>
  <c r="M35" i="2"/>
  <c r="O22" i="2"/>
  <c r="J36" i="2"/>
  <c r="T35" i="2"/>
  <c r="U35" i="2"/>
  <c r="K22" i="2"/>
  <c r="S35" i="2"/>
  <c r="K35" i="2"/>
  <c r="A36" i="2"/>
  <c r="C23" i="2"/>
  <c r="O35" i="2"/>
  <c r="E23" i="2"/>
  <c r="G33" i="2"/>
  <c r="F36" i="2"/>
  <c r="AE5" i="9"/>
  <c r="G34" i="2"/>
  <c r="Q35" i="2"/>
  <c r="I23" i="2"/>
  <c r="AA21" i="2"/>
  <c r="R33" i="2"/>
  <c r="I36" i="2"/>
  <c r="S22" i="2"/>
  <c r="Z35" i="2"/>
  <c r="F23" i="2"/>
  <c r="L22" i="2"/>
  <c r="P35" i="2"/>
  <c r="Z22" i="2"/>
  <c r="D36" i="2"/>
  <c r="D23" i="2"/>
  <c r="X35" i="2" l="1"/>
  <c r="Y5" i="9"/>
  <c r="Y3" i="9"/>
  <c r="Y6" i="9"/>
  <c r="Y15" i="9"/>
  <c r="AB15" i="9"/>
  <c r="AA15" i="9" s="1"/>
  <c r="AE7" i="9"/>
  <c r="X22" i="2"/>
  <c r="AC34" i="2"/>
  <c r="AC21" i="2"/>
  <c r="H24" i="2"/>
  <c r="J24" i="2"/>
  <c r="I24" i="2"/>
  <c r="AD37" i="2"/>
  <c r="W38" i="2"/>
  <c r="E37" i="2"/>
  <c r="Q36" i="2"/>
  <c r="M23" i="2"/>
  <c r="K36" i="2"/>
  <c r="S36" i="2"/>
  <c r="J37" i="2"/>
  <c r="C37" i="2"/>
  <c r="AA22" i="2"/>
  <c r="L36" i="2"/>
  <c r="M36" i="2"/>
  <c r="S23" i="2"/>
  <c r="I37" i="2"/>
  <c r="AA25" i="9"/>
  <c r="Z36" i="2"/>
  <c r="AA35" i="2"/>
  <c r="Q23" i="2"/>
  <c r="H37" i="2"/>
  <c r="P36" i="2"/>
  <c r="T23" i="2"/>
  <c r="AF24" i="2"/>
  <c r="A37" i="2"/>
  <c r="D37" i="2"/>
  <c r="R21" i="2"/>
  <c r="U23" i="2"/>
  <c r="F37" i="2"/>
  <c r="Z23" i="2"/>
  <c r="L23" i="2"/>
  <c r="AA64" i="9"/>
  <c r="K23" i="2"/>
  <c r="T36" i="2"/>
  <c r="O23" i="2"/>
  <c r="O36" i="2"/>
  <c r="G35" i="2"/>
  <c r="P23" i="2"/>
  <c r="AA51" i="9"/>
  <c r="G22" i="2"/>
  <c r="R34" i="2"/>
  <c r="B37" i="2"/>
  <c r="U36" i="2"/>
  <c r="AB25" i="9" l="1"/>
  <c r="E25" i="9" s="1"/>
  <c r="AB38" i="9"/>
  <c r="E38" i="9" s="1"/>
  <c r="AB64" i="9"/>
  <c r="E64" i="9" s="1"/>
  <c r="AB51" i="9"/>
  <c r="E51" i="9" s="1"/>
  <c r="AC35" i="2"/>
  <c r="X23" i="2"/>
  <c r="X36" i="2"/>
  <c r="AC22" i="2"/>
  <c r="U24" i="2"/>
  <c r="T24" i="2"/>
  <c r="S24" i="2"/>
  <c r="C24" i="2"/>
  <c r="AD38" i="2"/>
  <c r="F38" i="2"/>
  <c r="R35" i="2"/>
  <c r="J38" i="2"/>
  <c r="C38" i="2"/>
  <c r="M37" i="2"/>
  <c r="U37" i="2"/>
  <c r="I38" i="2"/>
  <c r="B38" i="2"/>
  <c r="AF25" i="2"/>
  <c r="AA36" i="2"/>
  <c r="S37" i="2"/>
  <c r="K37" i="2"/>
  <c r="H38" i="2"/>
  <c r="AA23" i="2"/>
  <c r="P37" i="2"/>
  <c r="Q37" i="2"/>
  <c r="A38" i="2"/>
  <c r="O37" i="2"/>
  <c r="T37" i="2"/>
  <c r="D38" i="2"/>
  <c r="R22" i="2"/>
  <c r="Z37" i="2"/>
  <c r="G36" i="2"/>
  <c r="L37" i="2"/>
  <c r="E38" i="2"/>
  <c r="G23" i="2"/>
  <c r="AC23" i="2" l="1"/>
  <c r="AC36" i="2"/>
  <c r="X37" i="2"/>
  <c r="G24" i="2"/>
  <c r="I39" i="2"/>
  <c r="J39" i="2"/>
  <c r="H39" i="2"/>
  <c r="M24" i="2"/>
  <c r="O38" i="2"/>
  <c r="AF39" i="2"/>
  <c r="U38" i="2"/>
  <c r="T38" i="2"/>
  <c r="K38" i="2"/>
  <c r="R36" i="2"/>
  <c r="S38" i="2"/>
  <c r="L38" i="2"/>
  <c r="R23" i="2"/>
  <c r="AA37" i="2"/>
  <c r="M38" i="2"/>
  <c r="G37" i="2"/>
  <c r="P38" i="2"/>
  <c r="Q38" i="2"/>
  <c r="Z38" i="2"/>
  <c r="R24" i="2" l="1"/>
  <c r="X38" i="2"/>
  <c r="AC37" i="2"/>
  <c r="U39" i="2"/>
  <c r="T39" i="2"/>
  <c r="S39" i="2"/>
  <c r="C39" i="2"/>
  <c r="AA40" i="2"/>
  <c r="AF40" i="2"/>
  <c r="G38" i="2"/>
  <c r="R37" i="2"/>
  <c r="AA38" i="2"/>
  <c r="AC38" i="2" l="1"/>
  <c r="Z45" i="2"/>
  <c r="Z46" i="2" s="1"/>
  <c r="G39" i="2"/>
  <c r="AG40" i="2"/>
  <c r="M39" i="2"/>
  <c r="AG39" i="2"/>
  <c r="AG24" i="2"/>
  <c r="AF41" i="2"/>
  <c r="AG25" i="2"/>
  <c r="R38" i="2"/>
  <c r="R39" i="2" l="1"/>
  <c r="Z47" i="2"/>
</calcChain>
</file>

<file path=xl/comments1.xml><?xml version="1.0" encoding="utf-8"?>
<comments xmlns="http://schemas.openxmlformats.org/spreadsheetml/2006/main">
  <authors>
    <author>Klaus Panthel</author>
    <author>Walter Adolph</author>
  </authors>
  <commentList>
    <comment ref="B10" authorId="0" shapeId="0">
      <text>
        <r>
          <rPr>
            <b/>
            <sz val="8"/>
            <color indexed="81"/>
            <rFont val="Tahoma"/>
            <family val="2"/>
          </rPr>
          <t>Walter Adolph:</t>
        </r>
        <r>
          <rPr>
            <sz val="8"/>
            <color indexed="81"/>
            <rFont val="Tahoma"/>
            <family val="2"/>
          </rPr>
          <t xml:space="preserve">
Der Spielort wird mit der Auswahl des Gastgebers automatisch beschrieben</t>
        </r>
      </text>
    </comment>
    <comment ref="P10" authorId="0" shapeId="0">
      <text>
        <r>
          <rPr>
            <b/>
            <sz val="8"/>
            <color indexed="81"/>
            <rFont val="Tahoma"/>
            <family val="2"/>
          </rPr>
          <t>Walter Adolph:</t>
        </r>
        <r>
          <rPr>
            <sz val="8"/>
            <color indexed="81"/>
            <rFont val="Tahoma"/>
            <family val="2"/>
          </rPr>
          <t xml:space="preserve">
Das Feld "Bahn" wird mit der Auswahl des Gastgebers automatisch beschrieben</t>
        </r>
      </text>
    </comment>
    <comment ref="C12" authorId="0" shapeId="0">
      <text>
        <r>
          <rPr>
            <b/>
            <sz val="8"/>
            <color indexed="81"/>
            <rFont val="Tahoma"/>
            <family val="2"/>
          </rPr>
          <t>Walter Adolph:</t>
        </r>
        <r>
          <rPr>
            <sz val="8"/>
            <color indexed="81"/>
            <rFont val="Tahoma"/>
            <family val="2"/>
          </rPr>
          <t xml:space="preserve">
Eingabeformat: "TT.MM.JJJJ"</t>
        </r>
      </text>
    </comment>
    <comment ref="B15" authorId="0" shapeId="0">
      <text>
        <r>
          <rPr>
            <b/>
            <sz val="8"/>
            <color indexed="81"/>
            <rFont val="Tahoma"/>
            <family val="2"/>
          </rPr>
          <t>Walter Adolph:</t>
        </r>
        <r>
          <rPr>
            <sz val="8"/>
            <color indexed="81"/>
            <rFont val="Tahoma"/>
            <family val="2"/>
          </rPr>
          <t xml:space="preserve">
Feld anklicken, dann mit Pfeil am rechten Rand den Gastgeber aus der Liste auswählen.</t>
        </r>
      </text>
    </comment>
    <comment ref="A19" authorId="1" shapeId="0">
      <text>
        <r>
          <rPr>
            <b/>
            <sz val="9"/>
            <color indexed="81"/>
            <rFont val="Tahoma"/>
            <family val="2"/>
          </rPr>
          <t>Walter Adolph:</t>
        </r>
        <r>
          <rPr>
            <sz val="9"/>
            <color indexed="81"/>
            <rFont val="Tahoma"/>
            <family val="2"/>
          </rPr>
          <t xml:space="preserve">
Pass-Nr.: mit dem
Buchstaben " D " beginnen.
</t>
        </r>
        <r>
          <rPr>
            <sz val="9"/>
            <color indexed="10"/>
            <rFont val="Tahoma"/>
            <family val="2"/>
          </rPr>
          <t>Beispiel:  D 999000</t>
        </r>
      </text>
    </comment>
    <comment ref="B19" authorId="1" shapeId="0">
      <text>
        <r>
          <rPr>
            <b/>
            <sz val="9"/>
            <color indexed="81"/>
            <rFont val="Tahoma"/>
            <family val="2"/>
          </rPr>
          <t>Walter Adolph:</t>
        </r>
        <r>
          <rPr>
            <sz val="9"/>
            <color indexed="81"/>
            <rFont val="Tahoma"/>
            <family val="2"/>
          </rPr>
          <t xml:space="preserve">
Den vollständigen Namen
hier eintragen.
</t>
        </r>
        <r>
          <rPr>
            <sz val="9"/>
            <color indexed="10"/>
            <rFont val="Tahoma"/>
            <family val="2"/>
          </rPr>
          <t>Beispiel: Mustermann, Heinrich</t>
        </r>
        <r>
          <rPr>
            <sz val="9"/>
            <color indexed="81"/>
            <rFont val="Tahoma"/>
            <family val="2"/>
          </rPr>
          <t xml:space="preserve"> </t>
        </r>
      </text>
    </comment>
    <comment ref="T19"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20"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21"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22"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23"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24"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B28" authorId="0" shapeId="0">
      <text>
        <r>
          <rPr>
            <b/>
            <sz val="8"/>
            <color indexed="81"/>
            <rFont val="Tahoma"/>
            <family val="2"/>
          </rPr>
          <t>Walter Adolph:</t>
        </r>
        <r>
          <rPr>
            <sz val="8"/>
            <color indexed="81"/>
            <rFont val="Tahoma"/>
            <family val="2"/>
          </rPr>
          <t xml:space="preserve">
Feld anklicken, dann mit Pfeil am rechten Rand den Gast aus der Liste auswählen.</t>
        </r>
      </text>
    </comment>
    <comment ref="A32" authorId="1" shapeId="0">
      <text>
        <r>
          <rPr>
            <b/>
            <sz val="9"/>
            <color indexed="81"/>
            <rFont val="Tahoma"/>
            <family val="2"/>
          </rPr>
          <t>Walter Adolph:</t>
        </r>
        <r>
          <rPr>
            <sz val="9"/>
            <color indexed="81"/>
            <rFont val="Tahoma"/>
            <family val="2"/>
          </rPr>
          <t xml:space="preserve">
Pass-Nr.: mit dem
Buchstaben " D " beginnen.
</t>
        </r>
        <r>
          <rPr>
            <sz val="9"/>
            <color indexed="10"/>
            <rFont val="Tahoma"/>
            <family val="2"/>
          </rPr>
          <t>Beispiel:  D 999000</t>
        </r>
      </text>
    </comment>
    <comment ref="B32" authorId="1" shapeId="0">
      <text>
        <r>
          <rPr>
            <b/>
            <sz val="9"/>
            <color indexed="81"/>
            <rFont val="Tahoma"/>
            <family val="2"/>
          </rPr>
          <t>Walter Adolph:</t>
        </r>
        <r>
          <rPr>
            <sz val="9"/>
            <color indexed="81"/>
            <rFont val="Tahoma"/>
            <family val="2"/>
          </rPr>
          <t xml:space="preserve">
Den vollständigen Namen
hier eintragen.
</t>
        </r>
        <r>
          <rPr>
            <sz val="9"/>
            <color indexed="10"/>
            <rFont val="Tahoma"/>
            <family val="2"/>
          </rPr>
          <t>Beispiel: Mustermann, Heinrich</t>
        </r>
        <r>
          <rPr>
            <sz val="9"/>
            <color indexed="81"/>
            <rFont val="Tahoma"/>
            <family val="2"/>
          </rPr>
          <t xml:space="preserve"> </t>
        </r>
      </text>
    </comment>
    <comment ref="T32"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33"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34"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35"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36"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37"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B41" authorId="0" shapeId="0">
      <text>
        <r>
          <rPr>
            <b/>
            <sz val="8"/>
            <color indexed="81"/>
            <rFont val="Tahoma"/>
            <family val="2"/>
          </rPr>
          <t>Walter Adolph:</t>
        </r>
        <r>
          <rPr>
            <sz val="8"/>
            <color indexed="81"/>
            <rFont val="Tahoma"/>
            <family val="2"/>
          </rPr>
          <t xml:space="preserve">
Feld anklicken, dann mit Pfeil am rechten Rand den Gast aus der Liste auswählen.</t>
        </r>
      </text>
    </comment>
    <comment ref="A45" authorId="1" shapeId="0">
      <text>
        <r>
          <rPr>
            <b/>
            <sz val="9"/>
            <color indexed="81"/>
            <rFont val="Tahoma"/>
            <family val="2"/>
          </rPr>
          <t>Walter Adolph:</t>
        </r>
        <r>
          <rPr>
            <sz val="9"/>
            <color indexed="81"/>
            <rFont val="Tahoma"/>
            <family val="2"/>
          </rPr>
          <t xml:space="preserve">
Pass-Nr.: mit dem
Buchstaben " D " beginnen.
</t>
        </r>
        <r>
          <rPr>
            <sz val="9"/>
            <color indexed="10"/>
            <rFont val="Tahoma"/>
            <family val="2"/>
          </rPr>
          <t>Beispiel:  D 999000</t>
        </r>
      </text>
    </comment>
    <comment ref="B45" authorId="1" shapeId="0">
      <text>
        <r>
          <rPr>
            <b/>
            <sz val="9"/>
            <color indexed="81"/>
            <rFont val="Tahoma"/>
            <family val="2"/>
          </rPr>
          <t>Walter Adolph:</t>
        </r>
        <r>
          <rPr>
            <sz val="9"/>
            <color indexed="81"/>
            <rFont val="Tahoma"/>
            <family val="2"/>
          </rPr>
          <t xml:space="preserve">
Den vollständigen Namen
hier eintragen.
</t>
        </r>
        <r>
          <rPr>
            <sz val="9"/>
            <color indexed="10"/>
            <rFont val="Tahoma"/>
            <family val="2"/>
          </rPr>
          <t>Beispiel: Mustermann, Heinrich</t>
        </r>
        <r>
          <rPr>
            <sz val="9"/>
            <color indexed="81"/>
            <rFont val="Tahoma"/>
            <family val="2"/>
          </rPr>
          <t xml:space="preserve"> </t>
        </r>
      </text>
    </comment>
    <comment ref="T45"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46"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47"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48"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49"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50"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B54" authorId="0" shapeId="0">
      <text>
        <r>
          <rPr>
            <b/>
            <sz val="8"/>
            <color indexed="81"/>
            <rFont val="Tahoma"/>
            <family val="2"/>
          </rPr>
          <t>Walter Adolph:</t>
        </r>
        <r>
          <rPr>
            <sz val="8"/>
            <color indexed="81"/>
            <rFont val="Tahoma"/>
            <family val="2"/>
          </rPr>
          <t xml:space="preserve">
Feld anklicken, dann mit Pfeil am rechten Rand den Gast aus der Liste auswählen.</t>
        </r>
      </text>
    </comment>
    <comment ref="A58" authorId="1" shapeId="0">
      <text>
        <r>
          <rPr>
            <b/>
            <sz val="9"/>
            <color indexed="81"/>
            <rFont val="Tahoma"/>
            <family val="2"/>
          </rPr>
          <t>Walter Adolph:</t>
        </r>
        <r>
          <rPr>
            <sz val="9"/>
            <color indexed="81"/>
            <rFont val="Tahoma"/>
            <family val="2"/>
          </rPr>
          <t xml:space="preserve">
Pass-Nr.: mit dem
Buchstaben " D " beginnen.
</t>
        </r>
        <r>
          <rPr>
            <sz val="9"/>
            <color indexed="10"/>
            <rFont val="Tahoma"/>
            <family val="2"/>
          </rPr>
          <t>Beispiel:  D 999000</t>
        </r>
      </text>
    </comment>
    <comment ref="B58" authorId="1" shapeId="0">
      <text>
        <r>
          <rPr>
            <b/>
            <sz val="9"/>
            <color indexed="81"/>
            <rFont val="Tahoma"/>
            <family val="2"/>
          </rPr>
          <t>Walter Adolph:</t>
        </r>
        <r>
          <rPr>
            <sz val="9"/>
            <color indexed="81"/>
            <rFont val="Tahoma"/>
            <family val="2"/>
          </rPr>
          <t xml:space="preserve">
Den vollständigen Namen
hier eintragen.
</t>
        </r>
        <r>
          <rPr>
            <sz val="9"/>
            <color indexed="10"/>
            <rFont val="Tahoma"/>
            <family val="2"/>
          </rPr>
          <t>Beispiel: Mustermann, Heinrich</t>
        </r>
        <r>
          <rPr>
            <sz val="9"/>
            <color indexed="81"/>
            <rFont val="Tahoma"/>
            <family val="2"/>
          </rPr>
          <t xml:space="preserve"> </t>
        </r>
      </text>
    </comment>
    <comment ref="T58"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59"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60"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61"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62"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 ref="T63" authorId="0" shapeId="0">
      <text>
        <r>
          <rPr>
            <b/>
            <sz val="8"/>
            <color indexed="81"/>
            <rFont val="Tahoma"/>
            <family val="2"/>
          </rPr>
          <t>Walter Adolph:</t>
        </r>
        <r>
          <rPr>
            <sz val="8"/>
            <color indexed="81"/>
            <rFont val="Tahoma"/>
            <family val="2"/>
          </rPr>
          <t xml:space="preserve">
</t>
        </r>
        <r>
          <rPr>
            <sz val="8"/>
            <color indexed="10"/>
            <rFont val="Tahoma"/>
            <family val="2"/>
          </rPr>
          <t>Dieses Feld ist nur für "Neuner" und "Kränze" vorgesehen.</t>
        </r>
        <r>
          <rPr>
            <sz val="8"/>
            <color indexed="81"/>
            <rFont val="Tahoma"/>
            <family val="2"/>
          </rPr>
          <t xml:space="preserve">
Ermitteln und eintragen nur bei </t>
        </r>
        <r>
          <rPr>
            <u/>
            <sz val="8"/>
            <color indexed="81"/>
            <rFont val="Tahoma"/>
            <family val="2"/>
          </rPr>
          <t>gleichen</t>
        </r>
        <r>
          <rPr>
            <sz val="8"/>
            <color indexed="81"/>
            <rFont val="Tahoma"/>
            <family val="2"/>
          </rPr>
          <t xml:space="preserve"> Holz- und Abräumzahlen.</t>
        </r>
      </text>
    </comment>
  </commentList>
</comments>
</file>

<file path=xl/sharedStrings.xml><?xml version="1.0" encoding="utf-8"?>
<sst xmlns="http://schemas.openxmlformats.org/spreadsheetml/2006/main" count="277" uniqueCount="118">
  <si>
    <t>Die Funktion "Makro" ist deaktiviert. Siehe Systemvoraussetzungen.
Das Tabellenblatt wurde in eine andere Datei kopiert. Dadurch fehlt die dazugehörige Makrofunktion</t>
  </si>
  <si>
    <t>Eingabefelder "Gastgeber, Gast"</t>
  </si>
  <si>
    <t>Wenn man auf das Feld klickt, erscheint rechts ein Pfeil für das Listenfeld. Im Listenfeld kann der gewünschte Klub ausgewählt werden.
Wird im Listenfeld "Gastgeber" ausgewählt, wird automatisch der Spielort und Bahn beschrieben.</t>
  </si>
  <si>
    <t>Letzte bespielte Bahn</t>
  </si>
  <si>
    <t>Ausfüllen des Spielberichtes im Tabellenblatt 
"SpB m Gassen"</t>
  </si>
  <si>
    <t>Alle Daten werden im "SpB m Gassen" eingegeben!
Der zu versendende Spielbericht befindet sich im Blatt "SpB"!</t>
  </si>
  <si>
    <t>Ausfüllen des Spielberichtes im Tabellenblatt 
"SpB"</t>
  </si>
  <si>
    <t>Alle Daten, bis auf die Tabelle, werden automatisch aus dem "SpB m Gassen" übernommen.
Die Tabelle ist bei jedem Spieltag händisch aktuell zu halten.</t>
  </si>
  <si>
    <t>Eingabe der Spielerdaten;
hier:  Pass-Nr. und Name</t>
  </si>
  <si>
    <t>Bemerkungen:</t>
  </si>
  <si>
    <t xml:space="preserve">Punkte: </t>
  </si>
  <si>
    <t>Spielort:</t>
  </si>
  <si>
    <t>Ergebnis</t>
  </si>
  <si>
    <t>Name, Vorname</t>
  </si>
  <si>
    <t>Pass-Nr.</t>
  </si>
  <si>
    <t>Auswahlfelder "Liga"</t>
  </si>
  <si>
    <t>Tätigkeit</t>
  </si>
  <si>
    <t>Beschreibung</t>
  </si>
  <si>
    <t>Die Funktion "Makro" ist deaktiviert.
Das Tabellenblatt wurde in eine andere Datei kopiert. Dadurch fehlt die dazugehörige Makrofunktion</t>
  </si>
  <si>
    <t>Allgemeine Informationen</t>
  </si>
  <si>
    <t>Eingabefeld "Datum"</t>
  </si>
  <si>
    <t>Nur Eingabeformate "TT.MM.JJJJ" oder "TT.MM.JJ" sind zugelassen. Nicht existierende Tage werden als Fehleingabe angezeit.</t>
  </si>
  <si>
    <t>Eingabefeld "Spiel-Nr"</t>
  </si>
  <si>
    <t>Es werden nur Zahlen zwischen 1 und 90 akzeptiert.</t>
  </si>
  <si>
    <t>Mögliche Fehler bzw. Auswirkungen</t>
  </si>
  <si>
    <t>Drucken bzw. Seitenansicht</t>
  </si>
  <si>
    <t xml:space="preserve">Falls negativ, kommt Abfrage, ob man trotzdem drucken will.
</t>
  </si>
  <si>
    <t xml:space="preserve">Die Auswahl der Liga erfolgt mit einem Doppelklick mit der linken Maustaste auf das entsprechende Feld. Bei nochmaligen Doppelklicken wird die Auswahl wieder aufgehoben.
</t>
  </si>
  <si>
    <t xml:space="preserve">Es wird nur ein gültiger Datumswert zugelassen.
</t>
  </si>
  <si>
    <t>Ansprechpartner</t>
  </si>
  <si>
    <t>Meisterrunde</t>
  </si>
  <si>
    <t>Abstiegsrunde</t>
  </si>
  <si>
    <t>Gastgeber:</t>
  </si>
  <si>
    <t>Spieldatum:</t>
  </si>
  <si>
    <t>Gast:</t>
  </si>
  <si>
    <t>(Unterschrift Mannschaftsführer)</t>
  </si>
  <si>
    <t>Vorgabe
Punkte</t>
  </si>
  <si>
    <t>1. Tag
Punkte</t>
  </si>
  <si>
    <t>2. Tag
Punkte</t>
  </si>
  <si>
    <t>3. Tag
Punkte</t>
  </si>
  <si>
    <t>4. Tag
Punkte</t>
  </si>
  <si>
    <t>Gesamt
Punkte</t>
  </si>
  <si>
    <t>(Unterschrift Schiedsrichter)</t>
  </si>
  <si>
    <t>Spieltag:</t>
  </si>
  <si>
    <t>Ausfüllhilfe zum Spielbericht für Meister- und Abstiegsrunde</t>
  </si>
  <si>
    <t>Auswahlfelder "Meisterrunde / Abstiegsrunde"</t>
  </si>
  <si>
    <t xml:space="preserve">Die Auswahl erfolgt mit einem Doppelklick mit der linken Maustaste auf das entsprechende Feld. Bei nochmaligen Doppelklicken wird die Auswahl wieder aufgehoben.
</t>
  </si>
  <si>
    <t xml:space="preserve">Es wird nur eine gültige Spiel-Nr. (1 - 4) zugelassen.
</t>
  </si>
  <si>
    <t xml:space="preserve">Vor dem Ausdrucken bzw. Seitenansicht wird der Spielbericht auf mögliche Fehler überprüft.
- Auswahl "Liga"
- Auswahl "Meister- / Abstiegsrunde"
- Eintrag "Datum"
- Eintrag "Spiel-Nr."
- Eintrag "Spielort"
</t>
  </si>
  <si>
    <t>Ges.
Rang</t>
  </si>
  <si>
    <t>EWP</t>
  </si>
  <si>
    <t>Adr</t>
  </si>
  <si>
    <t>Rang</t>
  </si>
  <si>
    <t>Volle</t>
  </si>
  <si>
    <t>Abr.</t>
  </si>
  <si>
    <t>Gesamt</t>
  </si>
  <si>
    <t>-</t>
  </si>
  <si>
    <t>Holz</t>
  </si>
  <si>
    <t>Holz-</t>
  </si>
  <si>
    <t>gleichheit</t>
  </si>
  <si>
    <t>Modalwert</t>
  </si>
  <si>
    <t>Zeile</t>
  </si>
  <si>
    <t>Ges.-Holz</t>
  </si>
  <si>
    <t>Gleichheit</t>
  </si>
  <si>
    <t>Adresse</t>
  </si>
  <si>
    <t>Pass-Nr. nicht gefunden, ggf. im Blatt &lt;Daten&gt; ändern / ergänzen</t>
  </si>
  <si>
    <t>Verleich</t>
  </si>
  <si>
    <t>Liga</t>
  </si>
  <si>
    <t>Klubname</t>
  </si>
  <si>
    <t>Kegelbahn</t>
  </si>
  <si>
    <t xml:space="preserve"> 4</t>
  </si>
  <si>
    <t>Punkte:</t>
  </si>
  <si>
    <t>2. Tag
EWP</t>
  </si>
  <si>
    <t>3. Tag
EWP</t>
  </si>
  <si>
    <t>4. Tag
EWP</t>
  </si>
  <si>
    <t>Gesamt
EWP</t>
  </si>
  <si>
    <t>1. Tag
EWP</t>
  </si>
  <si>
    <t>Spielberichtversand:</t>
  </si>
  <si>
    <r>
      <t>Systemvoraussetzungen:</t>
    </r>
    <r>
      <rPr>
        <sz val="10"/>
        <rFont val="Arial"/>
      </rPr>
      <t xml:space="preserve"> MS Excel 2000 und höher. Die im Hintergrund laufenden Makros arbeiten nur, wenn die Makro-Sicherheit im Menü "/Extras/Makro/Sicherheit" auf niedrig gestellt wird. Wird die Sicherheitsstufe geändert, muss Excel geschlossen werden und das Tool danach neu aufgerufen werden. In Excel 2007 muss ähnlich verfahren werden - jedoch unter anderen Menüpunkten.
Damit die hinterlegten Kommentare nicht dauernd sichtbar sind, Kommentar-Option unter /Menü/Extras/Optionen/Ansicht/ - Komentare auf "nur Indikatoren" einstellen.
</t>
    </r>
    <r>
      <rPr>
        <b/>
        <sz val="10"/>
        <color indexed="10"/>
        <rFont val="Arial"/>
        <family val="2"/>
      </rPr>
      <t>Es dürfen in keinem Fall Zeilen und Spalten hinzugefügt werden, sonst werden Zellverweise zerstört!</t>
    </r>
    <r>
      <rPr>
        <sz val="10"/>
        <rFont val="Arial"/>
      </rPr>
      <t xml:space="preserve">
Soll der Spielbericht als Blanko-Formular genutzt werden, müssen alle weißen Felder leer sein.
Die Beschreibungsfelder und automatisch ausgefüllte Felder sind für die Eingabe gesperrt, damit der Spielbericht die einheitliche Form behält. Außerdem können so die hinterlegten Formeln und Makros nicht zerstört werden.
Vor dem Drucken oder Seitenansicht wird der Spielbericht auf Eingabefehler hin überprüft.
Bestimmte Felder werden auf Gültigkeit der Eingaben überwacht.
Bei bestimmten Feldern wird eine Direkthilfe bei Anklicken des Feldes angezeigt.
Das Ergebnis von gleichen Gesamtholzzahlen (siehe Punkt 7) wird überwacht und signalisiert. Ein Spieler der Mannschaft mit der höheren Gesamtabräumzahl bekommt dann eine Kommastelle hinzugefügt.
</t>
    </r>
  </si>
  <si>
    <t>Bahn:</t>
  </si>
  <si>
    <t>Gleiche Holzzahlen bei Ergebnis und Abräumen</t>
  </si>
  <si>
    <t>N / K</t>
  </si>
  <si>
    <t>N/K</t>
  </si>
  <si>
    <t>NK</t>
  </si>
  <si>
    <t>Spielbericht</t>
  </si>
  <si>
    <t>für</t>
  </si>
  <si>
    <t>Spielbericht für
Meister-/Abstiegsrunde</t>
  </si>
  <si>
    <t>Meister- / Abstiegsrunde</t>
  </si>
  <si>
    <t>Abräumen</t>
  </si>
  <si>
    <r>
      <t xml:space="preserve">T a b e l l e </t>
    </r>
    <r>
      <rPr>
        <b/>
        <vertAlign val="superscript"/>
        <sz val="12"/>
        <rFont val="Arial"/>
        <family val="2"/>
      </rPr>
      <t>*)</t>
    </r>
  </si>
  <si>
    <t>x</t>
  </si>
  <si>
    <t>Rheinland-Pfalz-Liga</t>
  </si>
  <si>
    <t>per Fax an:</t>
  </si>
  <si>
    <t>LFV Rhl.-Pfalz e.V.
- Kegeln -
"Sektion Schere"</t>
  </si>
  <si>
    <t>Spielberichtversand per Fax an:</t>
  </si>
  <si>
    <t>RLP</t>
  </si>
  <si>
    <t xml:space="preserve">Ligenleiter:  W. Adolph
03222 150 4327 </t>
  </si>
  <si>
    <t xml:space="preserve">Ligenleiter: W. Adolph 
03222 150 4327 </t>
  </si>
  <si>
    <t>entfällt</t>
  </si>
  <si>
    <t>SKV Trier 2</t>
  </si>
  <si>
    <t>Kegel- u. Bowlingcenter Trier</t>
  </si>
  <si>
    <t xml:space="preserve">Ligenleiter RLP-Liga Herren
Walter Adolph
Tel. 06781 / 3 36 35
Fax 03222 150 4327
Mobil +49 170 3513534
Walter.Adolph@t-online.de
</t>
  </si>
  <si>
    <r>
      <t>In diesem Fall sind die betreffenden Felder "rot" hinterlegt. Zur Ermittlung, wer den höheren EWP erhält, dient einmal das Abräumergebnis.</t>
    </r>
    <r>
      <rPr>
        <sz val="10"/>
        <color indexed="10"/>
        <rFont val="Arial"/>
        <family val="2"/>
      </rPr>
      <t xml:space="preserve"> Ist dies auch gleich, dann wird nach </t>
    </r>
    <r>
      <rPr>
        <u/>
        <sz val="10"/>
        <color indexed="10"/>
        <rFont val="Arial"/>
        <family val="2"/>
      </rPr>
      <t>LfV-SpO Ziffer 7.ff</t>
    </r>
    <r>
      <rPr>
        <sz val="10"/>
        <color indexed="10"/>
        <rFont val="Arial"/>
        <family val="2"/>
      </rPr>
      <t xml:space="preserve"> weiter selektiert, "Neuner" und "Kränze", usw.! Der ermittelte Wert wird in das entsprechende Feld mit der Überschrift "N/K" eingetragen. </t>
    </r>
  </si>
  <si>
    <r>
      <rPr>
        <u/>
        <sz val="10"/>
        <color indexed="10"/>
        <rFont val="Arial"/>
        <family val="2"/>
      </rPr>
      <t>Wichtig:</t>
    </r>
    <r>
      <rPr>
        <sz val="10"/>
        <color indexed="10"/>
        <rFont val="Arial"/>
        <family val="2"/>
      </rPr>
      <t xml:space="preserve">
Es ist mit dem Buchstaben " D " zu beginnen </t>
    </r>
    <r>
      <rPr>
        <sz val="10"/>
        <rFont val="Arial"/>
        <family val="2"/>
      </rPr>
      <t>!</t>
    </r>
  </si>
  <si>
    <t>*) Die Tabelle wird nicht automatisch beschrieben, bitte nach jedem Spiel ausfüllen !</t>
  </si>
  <si>
    <t>KSV Osburg 1</t>
  </si>
  <si>
    <t>Kegelsportanlage Osburg</t>
  </si>
  <si>
    <t>SK Eifelland Gilzem 2</t>
  </si>
  <si>
    <t>Gasthaus Dichter</t>
  </si>
  <si>
    <t>KSG Idar-Oberstein 1</t>
  </si>
  <si>
    <t>Hotel Hosser</t>
  </si>
  <si>
    <t>Kegelsportanlage i.d. Baldenauhalle</t>
  </si>
  <si>
    <t>4</t>
  </si>
  <si>
    <t>Keglerheim Daun-Weiersbach</t>
  </si>
  <si>
    <t xml:space="preserve">SG Mittelrhein-Lonnig 1 </t>
  </si>
  <si>
    <t xml:space="preserve">Sporthalle Erbenstraße </t>
  </si>
  <si>
    <t>Haardtkopf Morbach</t>
  </si>
  <si>
    <t>KSC Daun-Weiersbach 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</si>
</sst>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 _€_-;\-* #,##0\ _€_-;_-* &quot;-&quot;??\ _€_-;_-@_-"/>
    <numFmt numFmtId="165" formatCode="0&quot;.&quot;"/>
    <numFmt numFmtId="166" formatCode="dd/\ mmmm\ yyyy"/>
    <numFmt numFmtId="167" formatCode="0.0"/>
    <numFmt numFmtId="168" formatCode="0.000000"/>
    <numFmt numFmtId="169" formatCode="0.0000"/>
    <numFmt numFmtId="170" formatCode="0.0000000"/>
    <numFmt numFmtId="171" formatCode="0.00000000000"/>
  </numFmts>
  <fonts count="44" x14ac:knownFonts="1">
    <font>
      <sz val="10"/>
      <name val="Arial"/>
    </font>
    <font>
      <sz val="10"/>
      <name val="Arial"/>
      <family val="2"/>
    </font>
    <font>
      <sz val="10"/>
      <name val="Arial"/>
      <family val="2"/>
    </font>
    <font>
      <sz val="8"/>
      <name val="Arial"/>
      <family val="2"/>
    </font>
    <font>
      <b/>
      <sz val="10"/>
      <name val="Arial"/>
      <family val="2"/>
    </font>
    <font>
      <sz val="11"/>
      <name val="Arial"/>
      <family val="2"/>
    </font>
    <font>
      <sz val="8"/>
      <name val="Arial"/>
      <family val="2"/>
    </font>
    <font>
      <u/>
      <sz val="10"/>
      <name val="Arial"/>
      <family val="2"/>
    </font>
    <font>
      <sz val="24"/>
      <name val="Arial"/>
      <family val="2"/>
    </font>
    <font>
      <sz val="12"/>
      <name val="Wingdings"/>
      <charset val="2"/>
    </font>
    <font>
      <u/>
      <sz val="10"/>
      <color indexed="12"/>
      <name val="Arial"/>
      <family val="2"/>
    </font>
    <font>
      <u/>
      <sz val="8"/>
      <color indexed="12"/>
      <name val="Arial"/>
      <family val="2"/>
    </font>
    <font>
      <b/>
      <sz val="12"/>
      <name val="Arial"/>
      <family val="2"/>
    </font>
    <font>
      <u/>
      <sz val="8"/>
      <name val="Arial"/>
      <family val="2"/>
    </font>
    <font>
      <b/>
      <sz val="11"/>
      <name val="Arial"/>
      <family val="2"/>
    </font>
    <font>
      <b/>
      <sz val="12"/>
      <color indexed="10"/>
      <name val="Arial"/>
      <family val="2"/>
    </font>
    <font>
      <sz val="12"/>
      <name val="Arial"/>
      <family val="2"/>
    </font>
    <font>
      <b/>
      <sz val="8"/>
      <color indexed="43"/>
      <name val="Arial"/>
      <family val="2"/>
    </font>
    <font>
      <b/>
      <u/>
      <sz val="10"/>
      <name val="Arial"/>
      <family val="2"/>
    </font>
    <font>
      <sz val="18"/>
      <name val="Arial"/>
      <family val="2"/>
    </font>
    <font>
      <b/>
      <sz val="8"/>
      <color indexed="10"/>
      <name val="Arial"/>
      <family val="2"/>
    </font>
    <font>
      <b/>
      <sz val="10"/>
      <color indexed="10"/>
      <name val="Arial"/>
      <family val="2"/>
    </font>
    <font>
      <sz val="8"/>
      <color indexed="81"/>
      <name val="Tahoma"/>
      <family val="2"/>
    </font>
    <font>
      <b/>
      <sz val="8"/>
      <color indexed="81"/>
      <name val="Tahoma"/>
      <family val="2"/>
    </font>
    <font>
      <sz val="8"/>
      <color indexed="10"/>
      <name val="Tahoma"/>
      <family val="2"/>
    </font>
    <font>
      <sz val="9"/>
      <name val="Arial"/>
      <family val="2"/>
    </font>
    <font>
      <sz val="10"/>
      <color indexed="10"/>
      <name val="Arial"/>
      <family val="2"/>
    </font>
    <font>
      <b/>
      <sz val="8"/>
      <name val="Arial"/>
      <family val="2"/>
    </font>
    <font>
      <u/>
      <sz val="22"/>
      <name val="Arial"/>
      <family val="2"/>
    </font>
    <font>
      <u/>
      <sz val="16"/>
      <name val="Arial"/>
      <family val="2"/>
    </font>
    <font>
      <u/>
      <sz val="20"/>
      <name val="Arial"/>
      <family val="2"/>
    </font>
    <font>
      <b/>
      <sz val="18"/>
      <name val="Arial"/>
      <family val="2"/>
    </font>
    <font>
      <u/>
      <sz val="10"/>
      <color indexed="10"/>
      <name val="Arial"/>
      <family val="2"/>
    </font>
    <font>
      <u/>
      <sz val="8"/>
      <color indexed="81"/>
      <name val="Tahoma"/>
      <family val="2"/>
    </font>
    <font>
      <b/>
      <vertAlign val="superscript"/>
      <sz val="12"/>
      <name val="Arial"/>
      <family val="2"/>
    </font>
    <font>
      <b/>
      <sz val="9"/>
      <name val="Arial"/>
      <family val="2"/>
    </font>
    <font>
      <b/>
      <sz val="16"/>
      <name val="Arial"/>
      <family val="2"/>
    </font>
    <font>
      <u/>
      <sz val="9"/>
      <name val="Arial"/>
      <family val="2"/>
    </font>
    <font>
      <sz val="10"/>
      <color indexed="10"/>
      <name val="Arial"/>
      <family val="2"/>
    </font>
    <font>
      <b/>
      <u/>
      <sz val="9"/>
      <name val="Arial"/>
      <family val="2"/>
    </font>
    <font>
      <sz val="9"/>
      <color indexed="10"/>
      <name val="Tahoma"/>
      <family val="2"/>
    </font>
    <font>
      <b/>
      <sz val="9"/>
      <color indexed="81"/>
      <name val="Tahoma"/>
      <family val="2"/>
    </font>
    <font>
      <sz val="9"/>
      <color indexed="81"/>
      <name val="Tahoma"/>
      <family val="2"/>
    </font>
    <font>
      <sz val="10"/>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s>
  <borders count="86">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42">
    <xf numFmtId="0" fontId="0" fillId="0" borderId="0" xfId="0"/>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vertical="center"/>
    </xf>
    <xf numFmtId="0" fontId="2"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2" fillId="2" borderId="0" xfId="0" applyFont="1" applyFill="1" applyAlignment="1">
      <alignment horizontal="left"/>
    </xf>
    <xf numFmtId="0" fontId="4" fillId="2" borderId="0" xfId="0" applyFont="1" applyFill="1" applyAlignment="1">
      <alignment horizontal="center"/>
    </xf>
    <xf numFmtId="0" fontId="3" fillId="2" borderId="0" xfId="0" applyFont="1" applyFill="1" applyAlignment="1">
      <alignment horizontal="left"/>
    </xf>
    <xf numFmtId="0" fontId="3" fillId="2" borderId="0" xfId="0" applyFont="1" applyFill="1" applyAlignment="1">
      <alignment horizontal="center"/>
    </xf>
    <xf numFmtId="1" fontId="3" fillId="0" borderId="0" xfId="0" applyNumberFormat="1" applyFont="1"/>
    <xf numFmtId="0" fontId="2" fillId="2" borderId="0" xfId="0" applyFont="1" applyFill="1" applyAlignment="1">
      <alignment horizontal="center"/>
    </xf>
    <xf numFmtId="0" fontId="0" fillId="0" borderId="0" xfId="0" applyAlignment="1">
      <alignment horizontal="left" indent="1"/>
    </xf>
    <xf numFmtId="0" fontId="2" fillId="0" borderId="0" xfId="0" applyFont="1" applyAlignment="1">
      <alignment horizontal="left" indent="1"/>
    </xf>
    <xf numFmtId="0" fontId="7" fillId="0" borderId="0" xfId="0" applyFont="1" applyAlignment="1">
      <alignment horizontal="left" indent="1"/>
    </xf>
    <xf numFmtId="0" fontId="0" fillId="0" borderId="0" xfId="0" applyAlignment="1">
      <alignment vertical="top"/>
    </xf>
    <xf numFmtId="0" fontId="0" fillId="0" borderId="0" xfId="0" applyAlignment="1">
      <alignment vertical="top" wrapText="1"/>
    </xf>
    <xf numFmtId="165" fontId="0" fillId="0" borderId="0" xfId="0" applyNumberFormat="1" applyAlignment="1">
      <alignment vertical="top"/>
    </xf>
    <xf numFmtId="0" fontId="0" fillId="0" borderId="1" xfId="0" applyBorder="1" applyAlignment="1">
      <alignment vertical="top" wrapText="1"/>
    </xf>
    <xf numFmtId="0" fontId="0" fillId="0" borderId="2" xfId="0" applyBorder="1" applyAlignment="1">
      <alignment vertical="top" wrapText="1"/>
    </xf>
    <xf numFmtId="165" fontId="0" fillId="0" borderId="3" xfId="0" applyNumberFormat="1" applyBorder="1" applyAlignment="1">
      <alignment vertical="top"/>
    </xf>
    <xf numFmtId="165" fontId="0" fillId="0" borderId="4" xfId="0" applyNumberFormat="1" applyBorder="1" applyAlignment="1">
      <alignment vertical="top"/>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xf>
    <xf numFmtId="165" fontId="0" fillId="0" borderId="8" xfId="0" applyNumberFormat="1" applyBorder="1" applyAlignment="1">
      <alignment vertical="top"/>
    </xf>
    <xf numFmtId="0" fontId="6" fillId="0" borderId="9" xfId="0" applyFont="1" applyBorder="1" applyAlignment="1">
      <alignment vertical="top" wrapText="1"/>
    </xf>
    <xf numFmtId="0" fontId="6" fillId="0" borderId="10" xfId="0" applyFont="1" applyBorder="1" applyAlignment="1">
      <alignment vertical="top" wrapText="1"/>
    </xf>
    <xf numFmtId="165" fontId="0" fillId="0" borderId="11" xfId="0" applyNumberFormat="1" applyBorder="1" applyAlignment="1">
      <alignment vertical="top"/>
    </xf>
    <xf numFmtId="0" fontId="0" fillId="0" borderId="12" xfId="0" applyBorder="1" applyAlignment="1">
      <alignment vertical="top" wrapText="1"/>
    </xf>
    <xf numFmtId="0" fontId="4" fillId="2" borderId="0" xfId="0" applyFont="1" applyFill="1" applyAlignment="1">
      <alignment horizontal="left" vertical="center" wrapText="1"/>
    </xf>
    <xf numFmtId="0" fontId="11" fillId="2" borderId="0" xfId="2" applyFont="1" applyFill="1" applyBorder="1" applyAlignment="1" applyProtection="1"/>
    <xf numFmtId="0" fontId="13" fillId="2" borderId="0" xfId="0" applyFont="1" applyFill="1" applyAlignment="1">
      <alignment vertical="center"/>
    </xf>
    <xf numFmtId="0" fontId="13" fillId="2" borderId="0" xfId="0" applyFont="1" applyFill="1"/>
    <xf numFmtId="0" fontId="3" fillId="2" borderId="0" xfId="0" applyFont="1" applyFill="1" applyAlignment="1">
      <alignment horizontal="right"/>
    </xf>
    <xf numFmtId="0" fontId="2" fillId="2" borderId="13" xfId="0" applyFont="1" applyFill="1" applyBorder="1" applyAlignment="1">
      <alignment horizontal="left"/>
    </xf>
    <xf numFmtId="0" fontId="4" fillId="0" borderId="1" xfId="0" applyFont="1" applyBorder="1" applyAlignment="1" applyProtection="1">
      <alignment horizontal="center" vertical="center"/>
      <protection locked="0"/>
    </xf>
    <xf numFmtId="0" fontId="3" fillId="2" borderId="14" xfId="0" applyFont="1" applyFill="1" applyBorder="1"/>
    <xf numFmtId="0" fontId="2" fillId="2" borderId="15" xfId="0" applyFont="1" applyFill="1" applyBorder="1" applyAlignment="1">
      <alignment horizontal="left"/>
    </xf>
    <xf numFmtId="0" fontId="2" fillId="2" borderId="14" xfId="0" applyFont="1" applyFill="1" applyBorder="1" applyAlignment="1">
      <alignment horizontal="left"/>
    </xf>
    <xf numFmtId="0" fontId="4" fillId="2" borderId="14" xfId="0" applyFont="1" applyFill="1" applyBorder="1" applyAlignment="1">
      <alignment horizontal="center"/>
    </xf>
    <xf numFmtId="0" fontId="2" fillId="2" borderId="14" xfId="0" applyFont="1" applyFill="1" applyBorder="1"/>
    <xf numFmtId="0" fontId="4" fillId="2" borderId="16" xfId="0" applyFont="1" applyFill="1" applyBorder="1" applyAlignment="1">
      <alignment horizontal="center"/>
    </xf>
    <xf numFmtId="0" fontId="4" fillId="2" borderId="17" xfId="0" applyFont="1" applyFill="1" applyBorder="1" applyAlignment="1">
      <alignment horizontal="center"/>
    </xf>
    <xf numFmtId="0" fontId="12" fillId="2" borderId="18" xfId="0" applyFont="1" applyFill="1" applyBorder="1" applyAlignment="1">
      <alignment horizontal="center"/>
    </xf>
    <xf numFmtId="0" fontId="3" fillId="2" borderId="19" xfId="0" applyFont="1" applyFill="1" applyBorder="1" applyAlignment="1">
      <alignment horizontal="left"/>
    </xf>
    <xf numFmtId="0" fontId="3" fillId="2" borderId="20" xfId="0" applyFont="1" applyFill="1" applyBorder="1" applyAlignment="1">
      <alignment horizontal="right"/>
    </xf>
    <xf numFmtId="0" fontId="3" fillId="2" borderId="21" xfId="0" applyFont="1" applyFill="1" applyBorder="1" applyAlignment="1">
      <alignment vertical="center"/>
    </xf>
    <xf numFmtId="0" fontId="4" fillId="2" borderId="22" xfId="0" applyFont="1" applyFill="1" applyBorder="1" applyAlignment="1">
      <alignment horizontal="left" vertical="center" wrapText="1"/>
    </xf>
    <xf numFmtId="0" fontId="2" fillId="2" borderId="21" xfId="0" applyFont="1" applyFill="1" applyBorder="1"/>
    <xf numFmtId="0" fontId="2" fillId="2" borderId="22" xfId="0" applyFont="1" applyFill="1" applyBorder="1" applyAlignment="1">
      <alignment horizontal="left"/>
    </xf>
    <xf numFmtId="0" fontId="3" fillId="2" borderId="22" xfId="0" applyFont="1" applyFill="1" applyBorder="1" applyAlignment="1">
      <alignment horizontal="left"/>
    </xf>
    <xf numFmtId="0" fontId="3" fillId="2" borderId="22" xfId="0" applyFont="1" applyFill="1" applyBorder="1" applyAlignment="1">
      <alignment horizontal="right"/>
    </xf>
    <xf numFmtId="0" fontId="3" fillId="2" borderId="21" xfId="0" applyFont="1" applyFill="1" applyBorder="1" applyAlignment="1">
      <alignment horizontal="center"/>
    </xf>
    <xf numFmtId="0" fontId="3" fillId="2" borderId="23" xfId="0" applyFont="1" applyFill="1" applyBorder="1" applyAlignment="1">
      <alignment horizontal="left" vertical="top"/>
    </xf>
    <xf numFmtId="0" fontId="3" fillId="2" borderId="24" xfId="0" applyFont="1" applyFill="1" applyBorder="1"/>
    <xf numFmtId="0" fontId="2" fillId="2" borderId="21" xfId="0" applyFont="1" applyFill="1" applyBorder="1" applyAlignment="1">
      <alignment horizontal="center"/>
    </xf>
    <xf numFmtId="0" fontId="2" fillId="2" borderId="25" xfId="0" applyFont="1" applyFill="1" applyBorder="1" applyAlignment="1">
      <alignment horizontal="left"/>
    </xf>
    <xf numFmtId="0" fontId="2" fillId="2" borderId="26" xfId="0" applyFont="1" applyFill="1" applyBorder="1" applyAlignment="1">
      <alignment horizontal="left"/>
    </xf>
    <xf numFmtId="0" fontId="4" fillId="2" borderId="26" xfId="0" applyFont="1" applyFill="1" applyBorder="1" applyAlignment="1">
      <alignment horizontal="center"/>
    </xf>
    <xf numFmtId="0" fontId="4" fillId="2" borderId="27" xfId="0" applyFont="1" applyFill="1" applyBorder="1" applyAlignment="1">
      <alignment horizontal="center"/>
    </xf>
    <xf numFmtId="0" fontId="3" fillId="2" borderId="25" xfId="0" applyFont="1" applyFill="1" applyBorder="1" applyAlignment="1">
      <alignment horizontal="left"/>
    </xf>
    <xf numFmtId="0" fontId="3" fillId="2" borderId="26" xfId="0" applyFont="1" applyFill="1" applyBorder="1" applyAlignment="1">
      <alignment horizontal="right"/>
    </xf>
    <xf numFmtId="0" fontId="5" fillId="2" borderId="20" xfId="0" applyFont="1" applyFill="1" applyBorder="1" applyAlignment="1">
      <alignment horizontal="left"/>
    </xf>
    <xf numFmtId="0" fontId="5" fillId="2" borderId="0" xfId="0" applyFont="1" applyFill="1" applyAlignment="1">
      <alignment horizontal="left"/>
    </xf>
    <xf numFmtId="14" fontId="5" fillId="2" borderId="0" xfId="0" applyNumberFormat="1" applyFont="1" applyFill="1" applyAlignment="1">
      <alignment horizontal="center"/>
    </xf>
    <xf numFmtId="164" fontId="5" fillId="2" borderId="28" xfId="1" applyNumberFormat="1" applyFont="1" applyFill="1" applyBorder="1" applyAlignment="1" applyProtection="1">
      <alignment horizontal="left"/>
    </xf>
    <xf numFmtId="164" fontId="5" fillId="2" borderId="27" xfId="1" applyNumberFormat="1" applyFont="1" applyFill="1" applyBorder="1" applyAlignment="1" applyProtection="1">
      <alignment horizontal="left"/>
    </xf>
    <xf numFmtId="164" fontId="5" fillId="2" borderId="21" xfId="1" applyNumberFormat="1" applyFont="1" applyFill="1" applyBorder="1" applyAlignment="1" applyProtection="1">
      <alignment horizontal="left"/>
    </xf>
    <xf numFmtId="0" fontId="5" fillId="2" borderId="26" xfId="0" applyFont="1" applyFill="1" applyBorder="1" applyAlignment="1">
      <alignment horizontal="left"/>
    </xf>
    <xf numFmtId="14" fontId="5" fillId="2" borderId="26" xfId="0" applyNumberFormat="1" applyFont="1" applyFill="1" applyBorder="1" applyAlignment="1">
      <alignment horizontal="center"/>
    </xf>
    <xf numFmtId="0" fontId="3" fillId="2" borderId="1" xfId="0" applyFont="1" applyFill="1" applyBorder="1" applyAlignment="1">
      <alignment horizontal="center" wrapText="1"/>
    </xf>
    <xf numFmtId="0" fontId="14" fillId="0" borderId="29" xfId="0" applyFont="1" applyBorder="1" applyAlignment="1" applyProtection="1">
      <alignment horizontal="center"/>
      <protection locked="0"/>
    </xf>
    <xf numFmtId="0" fontId="3" fillId="2" borderId="30" xfId="0" applyFont="1" applyFill="1" applyBorder="1" applyAlignment="1">
      <alignment horizontal="center" wrapText="1"/>
    </xf>
    <xf numFmtId="0" fontId="3" fillId="2" borderId="18" xfId="0" applyFont="1" applyFill="1" applyBorder="1" applyAlignment="1">
      <alignment horizontal="left" vertical="center"/>
    </xf>
    <xf numFmtId="0" fontId="3" fillId="2" borderId="31" xfId="0" applyFont="1" applyFill="1" applyBorder="1" applyAlignment="1">
      <alignment horizontal="left" vertical="center"/>
    </xf>
    <xf numFmtId="0" fontId="16" fillId="2" borderId="18" xfId="0" applyFont="1" applyFill="1" applyBorder="1" applyAlignment="1">
      <alignment horizontal="left"/>
    </xf>
    <xf numFmtId="0" fontId="16" fillId="2" borderId="0" xfId="0" applyFont="1" applyFill="1" applyAlignment="1">
      <alignment horizontal="left"/>
    </xf>
    <xf numFmtId="0" fontId="12" fillId="2" borderId="0" xfId="0" applyFont="1" applyFill="1" applyAlignment="1">
      <alignment horizontal="center"/>
    </xf>
    <xf numFmtId="0" fontId="12" fillId="2" borderId="0" xfId="0" applyFont="1" applyFill="1"/>
    <xf numFmtId="0" fontId="3" fillId="2" borderId="18" xfId="0" applyFont="1" applyFill="1" applyBorder="1" applyAlignment="1">
      <alignment horizontal="center" vertical="center"/>
    </xf>
    <xf numFmtId="0" fontId="5" fillId="2" borderId="28" xfId="0" applyFont="1" applyFill="1" applyBorder="1" applyAlignment="1">
      <alignment horizontal="left"/>
    </xf>
    <xf numFmtId="0" fontId="3" fillId="2" borderId="32" xfId="0" applyFont="1" applyFill="1" applyBorder="1" applyAlignment="1">
      <alignment horizontal="center" vertical="center"/>
    </xf>
    <xf numFmtId="0" fontId="16" fillId="2" borderId="33" xfId="0" applyFont="1" applyFill="1" applyBorder="1" applyAlignment="1">
      <alignment horizontal="left"/>
    </xf>
    <xf numFmtId="0" fontId="3" fillId="2" borderId="21" xfId="0" applyFont="1" applyFill="1" applyBorder="1"/>
    <xf numFmtId="167" fontId="3" fillId="0" borderId="0" xfId="0" applyNumberFormat="1" applyFont="1" applyAlignment="1">
      <alignment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1" fontId="12" fillId="0" borderId="29" xfId="0" applyNumberFormat="1" applyFont="1" applyBorder="1" applyAlignment="1" applyProtection="1">
      <alignment horizontal="center"/>
      <protection locked="0"/>
    </xf>
    <xf numFmtId="0" fontId="16" fillId="2" borderId="29" xfId="0" quotePrefix="1" applyFont="1" applyFill="1" applyBorder="1" applyAlignment="1">
      <alignment horizontal="center"/>
    </xf>
    <xf numFmtId="0" fontId="12" fillId="2" borderId="29" xfId="0" applyFont="1" applyFill="1" applyBorder="1" applyAlignment="1">
      <alignment horizontal="center"/>
    </xf>
    <xf numFmtId="0" fontId="3" fillId="3" borderId="41" xfId="0" applyFont="1" applyFill="1" applyBorder="1" applyAlignment="1">
      <alignment horizontal="left" vertical="center"/>
    </xf>
    <xf numFmtId="0" fontId="3" fillId="3" borderId="42" xfId="0" applyFont="1" applyFill="1" applyBorder="1" applyAlignment="1">
      <alignment horizontal="center" vertical="center"/>
    </xf>
    <xf numFmtId="0" fontId="5" fillId="0" borderId="3" xfId="0" applyFont="1" applyBorder="1" applyAlignment="1" applyProtection="1">
      <alignment horizontal="center" vertical="center"/>
      <protection locked="0"/>
    </xf>
    <xf numFmtId="0" fontId="5" fillId="2" borderId="33" xfId="0" applyFont="1" applyFill="1" applyBorder="1" applyAlignment="1">
      <alignment horizontal="left"/>
    </xf>
    <xf numFmtId="0" fontId="5" fillId="2" borderId="18" xfId="0" applyFont="1" applyFill="1" applyBorder="1" applyAlignment="1">
      <alignment horizontal="left"/>
    </xf>
    <xf numFmtId="0" fontId="14" fillId="2" borderId="18" xfId="0" applyFont="1" applyFill="1" applyBorder="1" applyAlignment="1">
      <alignment horizontal="center"/>
    </xf>
    <xf numFmtId="0" fontId="14" fillId="2" borderId="0" xfId="0" applyFont="1" applyFill="1"/>
    <xf numFmtId="0" fontId="3" fillId="3" borderId="29" xfId="0" applyFont="1" applyFill="1" applyBorder="1" applyAlignment="1">
      <alignment horizontal="left" vertical="center"/>
    </xf>
    <xf numFmtId="0" fontId="2" fillId="0" borderId="0" xfId="0" applyFont="1" applyAlignment="1">
      <alignment vertical="center"/>
    </xf>
    <xf numFmtId="167" fontId="2" fillId="0" borderId="0" xfId="0" applyNumberFormat="1" applyFont="1" applyAlignment="1">
      <alignment vertical="center"/>
    </xf>
    <xf numFmtId="1" fontId="3" fillId="0" borderId="0" xfId="0" applyNumberFormat="1" applyFont="1" applyAlignment="1">
      <alignment vertical="center"/>
    </xf>
    <xf numFmtId="0" fontId="9" fillId="0" borderId="0" xfId="0" applyFont="1" applyAlignment="1">
      <alignment vertical="center"/>
    </xf>
    <xf numFmtId="0" fontId="5" fillId="2" borderId="20" xfId="0" applyFont="1" applyFill="1" applyBorder="1"/>
    <xf numFmtId="0" fontId="4" fillId="2" borderId="0" xfId="0" applyFont="1" applyFill="1" applyAlignment="1">
      <alignment vertical="center" wrapText="1"/>
    </xf>
    <xf numFmtId="0" fontId="5" fillId="2" borderId="0" xfId="0" applyFont="1" applyFill="1"/>
    <xf numFmtId="0" fontId="5" fillId="2" borderId="26" xfId="0" applyFont="1" applyFill="1" applyBorder="1"/>
    <xf numFmtId="0" fontId="3" fillId="3" borderId="34" xfId="0" applyFont="1" applyFill="1" applyBorder="1" applyAlignment="1">
      <alignment vertical="center"/>
    </xf>
    <xf numFmtId="0" fontId="3" fillId="3" borderId="38" xfId="0" applyFont="1" applyFill="1" applyBorder="1" applyAlignment="1">
      <alignment vertical="center"/>
    </xf>
    <xf numFmtId="0" fontId="5" fillId="2" borderId="18" xfId="0" applyFont="1" applyFill="1" applyBorder="1"/>
    <xf numFmtId="0" fontId="2" fillId="2" borderId="26" xfId="0" applyFont="1" applyFill="1" applyBorder="1"/>
    <xf numFmtId="0" fontId="2" fillId="0" borderId="0" xfId="0" applyFont="1" applyAlignment="1">
      <alignment horizontal="center" vertical="center"/>
    </xf>
    <xf numFmtId="167" fontId="3" fillId="0" borderId="0" xfId="0" applyNumberFormat="1" applyFont="1" applyAlignment="1">
      <alignment horizontal="center" vertical="center"/>
    </xf>
    <xf numFmtId="0" fontId="3" fillId="0" borderId="0" xfId="0" applyFont="1" applyAlignment="1">
      <alignment horizontal="center"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12" fillId="2" borderId="20" xfId="0" applyFont="1" applyFill="1" applyBorder="1" applyAlignment="1">
      <alignment horizontal="center"/>
    </xf>
    <xf numFmtId="0" fontId="12" fillId="2" borderId="28" xfId="0" applyFont="1" applyFill="1" applyBorder="1" applyAlignment="1">
      <alignment horizontal="center"/>
    </xf>
    <xf numFmtId="0" fontId="13" fillId="2" borderId="0" xfId="2" applyFont="1" applyFill="1" applyBorder="1" applyAlignment="1" applyProtection="1"/>
    <xf numFmtId="1" fontId="3" fillId="0" borderId="0" xfId="0" applyNumberFormat="1" applyFont="1" applyAlignment="1">
      <alignment horizontal="center" vertical="center"/>
    </xf>
    <xf numFmtId="0" fontId="3" fillId="3" borderId="33" xfId="0" applyFont="1" applyFill="1" applyBorder="1" applyAlignment="1">
      <alignment horizontal="center" vertical="center"/>
    </xf>
    <xf numFmtId="0" fontId="3" fillId="3" borderId="8" xfId="0" applyFont="1" applyFill="1" applyBorder="1" applyAlignment="1">
      <alignment horizontal="center" vertical="center"/>
    </xf>
    <xf numFmtId="0" fontId="2" fillId="0" borderId="0" xfId="0" applyFont="1" applyAlignment="1">
      <alignment horizontal="left" vertical="center"/>
    </xf>
    <xf numFmtId="0" fontId="12" fillId="2" borderId="43" xfId="0" applyFont="1" applyFill="1" applyBorder="1" applyAlignment="1">
      <alignment horizontal="left" vertical="center"/>
    </xf>
    <xf numFmtId="0" fontId="12" fillId="2" borderId="44" xfId="0" applyFont="1" applyFill="1" applyBorder="1" applyAlignment="1">
      <alignment horizontal="left" vertical="center"/>
    </xf>
    <xf numFmtId="0" fontId="2" fillId="2" borderId="45" xfId="0" applyFont="1" applyFill="1" applyBorder="1" applyAlignment="1">
      <alignment horizontal="left"/>
    </xf>
    <xf numFmtId="0" fontId="2" fillId="2" borderId="46" xfId="0" applyFont="1" applyFill="1" applyBorder="1" applyAlignment="1">
      <alignment horizontal="left"/>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164" fontId="5" fillId="2" borderId="20" xfId="1" applyNumberFormat="1" applyFont="1" applyFill="1" applyBorder="1" applyAlignment="1" applyProtection="1">
      <alignment horizontal="left"/>
    </xf>
    <xf numFmtId="164" fontId="5" fillId="2" borderId="26" xfId="1" applyNumberFormat="1" applyFont="1" applyFill="1" applyBorder="1" applyAlignment="1" applyProtection="1">
      <alignment horizontal="left"/>
    </xf>
    <xf numFmtId="0" fontId="3" fillId="2" borderId="47" xfId="0" applyFont="1" applyFill="1" applyBorder="1" applyAlignment="1">
      <alignment horizontal="center" vertical="center"/>
    </xf>
    <xf numFmtId="0" fontId="3" fillId="2" borderId="48" xfId="0" applyFont="1" applyFill="1" applyBorder="1" applyAlignment="1">
      <alignment horizontal="center" wrapText="1"/>
    </xf>
    <xf numFmtId="1" fontId="12" fillId="2" borderId="48" xfId="0" applyNumberFormat="1" applyFont="1" applyFill="1" applyBorder="1" applyAlignment="1">
      <alignment horizontal="center" vertical="center"/>
    </xf>
    <xf numFmtId="1" fontId="12" fillId="2" borderId="49" xfId="0" applyNumberFormat="1" applyFont="1" applyFill="1" applyBorder="1" applyAlignment="1">
      <alignment horizontal="center" vertical="center"/>
    </xf>
    <xf numFmtId="0" fontId="3" fillId="0" borderId="0" xfId="0" applyFont="1" applyAlignment="1">
      <alignment horizontal="center"/>
    </xf>
    <xf numFmtId="167" fontId="3" fillId="0" borderId="0" xfId="0" applyNumberFormat="1" applyFont="1" applyAlignment="1">
      <alignment horizontal="center"/>
    </xf>
    <xf numFmtId="1" fontId="3" fillId="0" borderId="0" xfId="0" applyNumberFormat="1" applyFont="1" applyAlignment="1">
      <alignment horizontal="center"/>
    </xf>
    <xf numFmtId="0" fontId="3" fillId="2" borderId="50" xfId="0" applyFont="1" applyFill="1" applyBorder="1" applyAlignment="1">
      <alignment horizontal="center" vertical="center"/>
    </xf>
    <xf numFmtId="167" fontId="3" fillId="0" borderId="0" xfId="0" applyNumberFormat="1" applyFont="1"/>
    <xf numFmtId="0" fontId="3" fillId="2" borderId="51" xfId="0" applyFont="1" applyFill="1" applyBorder="1" applyAlignment="1">
      <alignment horizontal="center" wrapText="1"/>
    </xf>
    <xf numFmtId="1" fontId="12" fillId="2" borderId="51" xfId="0" applyNumberFormat="1" applyFont="1" applyFill="1" applyBorder="1" applyAlignment="1">
      <alignment horizontal="center" vertical="center"/>
    </xf>
    <xf numFmtId="1" fontId="12" fillId="2" borderId="52" xfId="0" applyNumberFormat="1" applyFont="1" applyFill="1" applyBorder="1" applyAlignment="1">
      <alignment horizontal="center" vertical="center"/>
    </xf>
    <xf numFmtId="0" fontId="3" fillId="2" borderId="53" xfId="0" applyFont="1" applyFill="1" applyBorder="1" applyAlignment="1">
      <alignment horizontal="center" wrapText="1"/>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2" fillId="2" borderId="0" xfId="0" applyFont="1" applyFill="1" applyAlignment="1">
      <alignment horizontal="left"/>
    </xf>
    <xf numFmtId="14" fontId="12" fillId="2" borderId="0" xfId="0" applyNumberFormat="1" applyFont="1" applyFill="1" applyAlignment="1">
      <alignment horizontal="center"/>
    </xf>
    <xf numFmtId="0" fontId="14" fillId="2" borderId="0" xfId="0" applyFont="1" applyFill="1" applyAlignment="1">
      <alignment horizontal="center"/>
    </xf>
    <xf numFmtId="0" fontId="5" fillId="2" borderId="51" xfId="0" applyFont="1" applyFill="1" applyBorder="1" applyAlignment="1">
      <alignment horizontal="left" vertical="center"/>
    </xf>
    <xf numFmtId="0" fontId="5" fillId="2" borderId="54" xfId="0" applyFont="1" applyFill="1" applyBorder="1" applyAlignment="1">
      <alignment horizontal="center" vertical="center"/>
    </xf>
    <xf numFmtId="0" fontId="5" fillId="2" borderId="52" xfId="0" applyFont="1" applyFill="1" applyBorder="1" applyAlignment="1">
      <alignment horizontal="left" vertical="center"/>
    </xf>
    <xf numFmtId="0" fontId="16" fillId="2" borderId="55" xfId="0" applyFont="1" applyFill="1" applyBorder="1" applyAlignment="1">
      <alignment horizontal="center" vertical="center"/>
    </xf>
    <xf numFmtId="0" fontId="3" fillId="2" borderId="13" xfId="0" applyFont="1" applyFill="1" applyBorder="1" applyAlignment="1">
      <alignment horizontal="center"/>
    </xf>
    <xf numFmtId="0" fontId="3" fillId="2" borderId="17" xfId="0" applyFont="1" applyFill="1" applyBorder="1" applyAlignment="1">
      <alignment horizontal="center"/>
    </xf>
    <xf numFmtId="0" fontId="2" fillId="2" borderId="17" xfId="0" applyFont="1" applyFill="1" applyBorder="1" applyAlignment="1">
      <alignment horizontal="center"/>
    </xf>
    <xf numFmtId="0" fontId="12" fillId="0" borderId="38"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2" fillId="0" borderId="0" xfId="1" applyNumberFormat="1" applyFont="1" applyFill="1" applyBorder="1" applyAlignment="1" applyProtection="1">
      <alignment horizontal="center" vertical="center"/>
    </xf>
    <xf numFmtId="0" fontId="12" fillId="2" borderId="58" xfId="0" applyFont="1" applyFill="1" applyBorder="1" applyAlignment="1">
      <alignment horizontal="center" vertical="center"/>
    </xf>
    <xf numFmtId="1" fontId="12" fillId="2" borderId="24" xfId="0" applyNumberFormat="1" applyFont="1" applyFill="1" applyBorder="1" applyAlignment="1">
      <alignment horizontal="center" vertical="center"/>
    </xf>
    <xf numFmtId="0" fontId="16" fillId="2" borderId="56" xfId="0" applyFont="1" applyFill="1" applyBorder="1" applyAlignment="1">
      <alignment horizontal="center" vertical="center"/>
    </xf>
    <xf numFmtId="0" fontId="12" fillId="2" borderId="29" xfId="0" applyFont="1" applyFill="1" applyBorder="1" applyAlignment="1">
      <alignment horizontal="left"/>
    </xf>
    <xf numFmtId="0" fontId="19" fillId="2" borderId="20" xfId="0" applyFont="1" applyFill="1" applyBorder="1" applyAlignment="1">
      <alignment horizontal="center"/>
    </xf>
    <xf numFmtId="1" fontId="2" fillId="2" borderId="1" xfId="0" applyNumberFormat="1" applyFont="1" applyFill="1" applyBorder="1" applyAlignment="1">
      <alignment horizontal="center" vertical="center"/>
    </xf>
    <xf numFmtId="1" fontId="5" fillId="2" borderId="59" xfId="0" applyNumberFormat="1" applyFont="1" applyFill="1" applyBorder="1" applyAlignment="1">
      <alignment horizontal="center" vertical="center"/>
    </xf>
    <xf numFmtId="0" fontId="25" fillId="0" borderId="0" xfId="0" applyFont="1" applyAlignment="1">
      <alignment horizontal="center" vertical="center"/>
    </xf>
    <xf numFmtId="169" fontId="25" fillId="0" borderId="0" xfId="0" applyNumberFormat="1" applyFont="1" applyAlignment="1">
      <alignment horizontal="center" vertical="center"/>
    </xf>
    <xf numFmtId="1" fontId="14" fillId="2" borderId="53" xfId="0" applyNumberFormat="1" applyFont="1" applyFill="1" applyBorder="1" applyAlignment="1">
      <alignment horizontal="center" vertical="center"/>
    </xf>
    <xf numFmtId="0" fontId="14" fillId="2" borderId="60" xfId="0" applyFont="1" applyFill="1" applyBorder="1" applyAlignment="1">
      <alignment horizontal="center" vertical="center"/>
    </xf>
    <xf numFmtId="170" fontId="3" fillId="0" borderId="0" xfId="0" applyNumberFormat="1" applyFont="1" applyAlignment="1">
      <alignment horizontal="center" vertical="center"/>
    </xf>
    <xf numFmtId="170" fontId="3" fillId="0" borderId="0" xfId="0" applyNumberFormat="1" applyFont="1" applyAlignment="1">
      <alignment horizontal="left" vertical="center"/>
    </xf>
    <xf numFmtId="168" fontId="3" fillId="0" borderId="0" xfId="0" applyNumberFormat="1" applyFont="1" applyAlignment="1">
      <alignment horizontal="center"/>
    </xf>
    <xf numFmtId="170" fontId="3" fillId="0" borderId="0" xfId="0" applyNumberFormat="1" applyFont="1" applyAlignment="1">
      <alignment horizontal="center"/>
    </xf>
    <xf numFmtId="170" fontId="2" fillId="0" borderId="0" xfId="0" applyNumberFormat="1" applyFont="1"/>
    <xf numFmtId="0" fontId="3" fillId="2" borderId="55" xfId="0" applyFont="1" applyFill="1" applyBorder="1" applyAlignment="1">
      <alignment horizontal="center" wrapText="1"/>
    </xf>
    <xf numFmtId="0" fontId="12" fillId="0" borderId="55"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1" fontId="12" fillId="0" borderId="62" xfId="0" applyNumberFormat="1" applyFont="1" applyBorder="1" applyAlignment="1" applyProtection="1">
      <alignment horizontal="center" vertical="center"/>
      <protection locked="0"/>
    </xf>
    <xf numFmtId="0" fontId="12" fillId="2" borderId="39"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19" fillId="2" borderId="0" xfId="0" applyFont="1" applyFill="1" applyAlignment="1">
      <alignment horizontal="center"/>
    </xf>
    <xf numFmtId="0" fontId="18" fillId="2" borderId="0" xfId="0" applyFont="1" applyFill="1" applyAlignment="1">
      <alignment horizontal="left"/>
    </xf>
    <xf numFmtId="0" fontId="18" fillId="2" borderId="0" xfId="0" applyFont="1" applyFill="1" applyAlignment="1">
      <alignment horizontal="center" vertical="center"/>
    </xf>
    <xf numFmtId="0" fontId="13" fillId="2" borderId="0" xfId="0" applyFont="1" applyFill="1" applyAlignment="1">
      <alignment horizontal="center" vertical="center"/>
    </xf>
    <xf numFmtId="166" fontId="12" fillId="2" borderId="0" xfId="0" applyNumberFormat="1" applyFont="1" applyFill="1" applyAlignment="1">
      <alignment horizontal="center"/>
    </xf>
    <xf numFmtId="0" fontId="12" fillId="0" borderId="39"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3" fillId="2" borderId="0" xfId="0" applyFont="1" applyFill="1" applyAlignment="1">
      <alignment horizontal="left" vertical="top"/>
    </xf>
    <xf numFmtId="0" fontId="27" fillId="2" borderId="0" xfId="0" applyFont="1" applyFill="1" applyAlignment="1">
      <alignment horizontal="center" vertical="top"/>
    </xf>
    <xf numFmtId="0" fontId="4" fillId="2" borderId="1" xfId="0" applyFont="1" applyFill="1" applyBorder="1" applyAlignment="1">
      <alignment horizontal="center" vertical="center"/>
    </xf>
    <xf numFmtId="0" fontId="27" fillId="0" borderId="0" xfId="0" applyFont="1" applyAlignment="1">
      <alignment horizontal="center"/>
    </xf>
    <xf numFmtId="0" fontId="38" fillId="0" borderId="2" xfId="0" applyFont="1" applyBorder="1" applyAlignment="1">
      <alignment vertical="top" wrapText="1"/>
    </xf>
    <xf numFmtId="166" fontId="12" fillId="2" borderId="0" xfId="0" applyNumberFormat="1" applyFont="1" applyFill="1" applyAlignment="1" applyProtection="1">
      <alignment horizontal="center"/>
      <protection locked="0"/>
    </xf>
    <xf numFmtId="0" fontId="12" fillId="2" borderId="0" xfId="0" applyFont="1" applyFill="1" applyProtection="1">
      <protection locked="0"/>
    </xf>
    <xf numFmtId="0" fontId="5" fillId="4" borderId="53" xfId="0" applyFont="1" applyFill="1" applyBorder="1" applyAlignment="1">
      <alignment horizontal="center" vertical="center"/>
    </xf>
    <xf numFmtId="0" fontId="5" fillId="2" borderId="64" xfId="0" applyFont="1" applyFill="1" applyBorder="1" applyAlignment="1">
      <alignment horizontal="center" vertical="center"/>
    </xf>
    <xf numFmtId="1" fontId="2" fillId="2" borderId="65" xfId="0" applyNumberFormat="1" applyFont="1" applyFill="1" applyBorder="1" applyAlignment="1">
      <alignment horizontal="center" vertical="center"/>
    </xf>
    <xf numFmtId="0" fontId="14" fillId="2" borderId="66" xfId="0" applyFont="1" applyFill="1" applyBorder="1" applyAlignment="1">
      <alignment horizontal="center" vertical="center"/>
    </xf>
    <xf numFmtId="0" fontId="5" fillId="2" borderId="67" xfId="0" applyFont="1" applyFill="1" applyBorder="1" applyAlignment="1">
      <alignment horizontal="center" vertical="center"/>
    </xf>
    <xf numFmtId="1" fontId="5" fillId="2" borderId="9" xfId="0" applyNumberFormat="1" applyFont="1" applyFill="1" applyBorder="1" applyAlignment="1">
      <alignment horizontal="center" vertical="center"/>
    </xf>
    <xf numFmtId="1" fontId="14" fillId="2" borderId="68" xfId="0" applyNumberFormat="1" applyFont="1" applyFill="1" applyBorder="1" applyAlignment="1">
      <alignment horizontal="center" vertical="center"/>
    </xf>
    <xf numFmtId="0" fontId="14" fillId="2" borderId="69" xfId="0" applyFont="1" applyFill="1" applyBorder="1" applyAlignment="1">
      <alignment horizontal="center" vertical="center"/>
    </xf>
    <xf numFmtId="0" fontId="2" fillId="2" borderId="0" xfId="0" applyFont="1" applyFill="1" applyAlignment="1" applyProtection="1">
      <alignment horizontal="center"/>
      <protection locked="0"/>
    </xf>
    <xf numFmtId="0" fontId="3" fillId="3" borderId="70" xfId="0" applyFont="1" applyFill="1" applyBorder="1" applyAlignment="1">
      <alignment horizontal="center" vertical="center"/>
    </xf>
    <xf numFmtId="0" fontId="5" fillId="0" borderId="6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4" borderId="63" xfId="0" applyFont="1" applyFill="1" applyBorder="1" applyAlignment="1">
      <alignment horizontal="center" vertical="center"/>
    </xf>
    <xf numFmtId="0" fontId="5" fillId="0" borderId="72" xfId="0" applyFont="1" applyBorder="1" applyAlignment="1" applyProtection="1">
      <alignment horizontal="center" vertical="center"/>
      <protection locked="0"/>
    </xf>
    <xf numFmtId="0" fontId="3" fillId="3" borderId="73" xfId="0" applyFont="1" applyFill="1" applyBorder="1" applyAlignment="1">
      <alignment horizontal="center" vertical="center"/>
    </xf>
    <xf numFmtId="0" fontId="5" fillId="2" borderId="48" xfId="0" applyFont="1" applyFill="1" applyBorder="1" applyAlignment="1">
      <alignment horizontal="left" vertical="center"/>
    </xf>
    <xf numFmtId="0" fontId="5" fillId="2" borderId="49" xfId="0" applyFont="1" applyFill="1" applyBorder="1" applyAlignment="1">
      <alignment horizontal="left" vertical="center"/>
    </xf>
    <xf numFmtId="0" fontId="2" fillId="0" borderId="0" xfId="0" applyFont="1" applyAlignment="1" applyProtection="1">
      <alignment horizontal="left" vertical="center"/>
      <protection locked="0"/>
    </xf>
    <xf numFmtId="1" fontId="2" fillId="0" borderId="0" xfId="0" applyNumberFormat="1" applyFont="1" applyAlignment="1" applyProtection="1">
      <alignment horizontal="left" vertical="center"/>
      <protection locked="0"/>
    </xf>
    <xf numFmtId="0" fontId="25" fillId="0" borderId="22" xfId="0" applyFont="1" applyBorder="1" applyAlignment="1" applyProtection="1">
      <alignment horizontal="left" vertical="center" wrapText="1"/>
      <protection locked="0"/>
    </xf>
    <xf numFmtId="171" fontId="3" fillId="0" borderId="0" xfId="0" applyNumberFormat="1" applyFont="1" applyAlignment="1">
      <alignment vertical="center"/>
    </xf>
    <xf numFmtId="0" fontId="1" fillId="0" borderId="0" xfId="0" applyFont="1" applyAlignment="1" applyProtection="1">
      <alignment horizontal="left" vertical="center"/>
      <protection locked="0"/>
    </xf>
    <xf numFmtId="0" fontId="3" fillId="0" borderId="0" xfId="0" applyFont="1" applyAlignment="1">
      <alignment horizontal="left" vertical="center"/>
    </xf>
    <xf numFmtId="0" fontId="16" fillId="2" borderId="3" xfId="0" applyFont="1" applyFill="1" applyBorder="1" applyAlignment="1">
      <alignment horizontal="center" vertical="center"/>
    </xf>
    <xf numFmtId="0" fontId="16" fillId="2" borderId="71" xfId="0" applyFont="1" applyFill="1" applyBorder="1" applyAlignment="1">
      <alignment horizontal="center" vertical="center"/>
    </xf>
    <xf numFmtId="0" fontId="35" fillId="2" borderId="0" xfId="0" applyFont="1" applyFill="1" applyAlignment="1">
      <alignment vertical="center" wrapText="1"/>
    </xf>
    <xf numFmtId="0" fontId="1" fillId="0" borderId="1" xfId="0" applyFont="1" applyBorder="1" applyAlignment="1">
      <alignment vertical="top" wrapText="1"/>
    </xf>
    <xf numFmtId="0" fontId="27" fillId="2" borderId="0" xfId="0" applyFont="1" applyFill="1"/>
    <xf numFmtId="0" fontId="27" fillId="2" borderId="0" xfId="0" applyFont="1" applyFill="1" applyAlignment="1">
      <alignment vertical="center"/>
    </xf>
    <xf numFmtId="0" fontId="35" fillId="2" borderId="0" xfId="0" applyFont="1" applyFill="1" applyAlignment="1">
      <alignment vertical="center"/>
    </xf>
    <xf numFmtId="0" fontId="35" fillId="2" borderId="0" xfId="0" applyFont="1" applyFill="1"/>
    <xf numFmtId="0" fontId="25" fillId="0" borderId="74" xfId="0" applyFont="1" applyBorder="1" applyAlignment="1">
      <alignment horizontal="left"/>
    </xf>
    <xf numFmtId="0" fontId="25" fillId="0" borderId="18" xfId="0" applyFont="1" applyBorder="1" applyAlignment="1">
      <alignment horizontal="left"/>
    </xf>
    <xf numFmtId="1" fontId="5" fillId="0" borderId="1" xfId="0" applyNumberFormat="1" applyFont="1" applyBorder="1" applyAlignment="1">
      <alignment horizontal="center" vertical="center"/>
    </xf>
    <xf numFmtId="1" fontId="16" fillId="0" borderId="60" xfId="0" applyNumberFormat="1" applyFont="1" applyBorder="1" applyAlignment="1">
      <alignment horizontal="center" vertical="center"/>
    </xf>
    <xf numFmtId="1" fontId="5" fillId="0" borderId="56" xfId="0" applyNumberFormat="1" applyFont="1" applyBorder="1" applyAlignment="1">
      <alignment horizontal="center" vertical="center"/>
    </xf>
    <xf numFmtId="1" fontId="16" fillId="0" borderId="72" xfId="0"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3" fillId="0" borderId="0" xfId="0" quotePrefix="1" applyFont="1" applyAlignment="1">
      <alignment horizontal="center" vertical="center"/>
    </xf>
    <xf numFmtId="0" fontId="5" fillId="0" borderId="30"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7" xfId="0" applyFont="1" applyFill="1" applyBorder="1" applyAlignment="1">
      <alignment horizontal="center" vertical="center"/>
    </xf>
    <xf numFmtId="0" fontId="5" fillId="0" borderId="30" xfId="0" applyFont="1" applyBorder="1" applyAlignment="1" applyProtection="1">
      <alignment vertical="center" shrinkToFit="1"/>
      <protection locked="0"/>
    </xf>
    <xf numFmtId="0" fontId="5" fillId="0" borderId="46" xfId="0" applyFont="1" applyBorder="1" applyAlignment="1" applyProtection="1">
      <alignment vertical="center" shrinkToFit="1"/>
      <protection locked="0"/>
    </xf>
    <xf numFmtId="0" fontId="31" fillId="2" borderId="20" xfId="0" applyFont="1" applyFill="1" applyBorder="1" applyAlignment="1">
      <alignment horizontal="center" wrapText="1"/>
    </xf>
    <xf numFmtId="0" fontId="31" fillId="2" borderId="0" xfId="0" applyFont="1" applyFill="1" applyAlignment="1">
      <alignment horizontal="center" wrapText="1"/>
    </xf>
    <xf numFmtId="166" fontId="12" fillId="0" borderId="29" xfId="0" applyNumberFormat="1" applyFont="1" applyBorder="1" applyAlignment="1" applyProtection="1">
      <alignment horizontal="center"/>
      <protection locked="0"/>
    </xf>
    <xf numFmtId="0" fontId="12" fillId="0" borderId="29" xfId="0" applyFont="1" applyBorder="1" applyAlignment="1" applyProtection="1">
      <alignment horizontal="left"/>
      <protection locked="0"/>
    </xf>
    <xf numFmtId="0" fontId="12" fillId="0" borderId="29" xfId="0" applyFont="1" applyBorder="1" applyProtection="1">
      <protection locked="0"/>
    </xf>
    <xf numFmtId="0" fontId="20" fillId="2" borderId="20" xfId="0" applyFont="1" applyFill="1" applyBorder="1" applyAlignment="1">
      <alignment horizontal="right" vertical="center" wrapText="1"/>
    </xf>
    <xf numFmtId="0" fontId="20" fillId="2" borderId="28" xfId="0" applyFont="1" applyFill="1" applyBorder="1" applyAlignment="1">
      <alignment horizontal="right" vertical="center" wrapText="1"/>
    </xf>
    <xf numFmtId="0" fontId="20" fillId="2" borderId="0" xfId="0" applyFont="1" applyFill="1" applyAlignment="1">
      <alignment horizontal="right" vertical="center" wrapText="1"/>
    </xf>
    <xf numFmtId="0" fontId="20" fillId="2" borderId="21" xfId="0" applyFont="1" applyFill="1" applyBorder="1" applyAlignment="1">
      <alignment horizontal="right" vertical="center" wrapText="1"/>
    </xf>
    <xf numFmtId="0" fontId="20" fillId="2" borderId="14"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0" xfId="0" applyFont="1" applyFill="1" applyAlignment="1">
      <alignment horizontal="center" vertical="center" wrapText="1"/>
    </xf>
    <xf numFmtId="0" fontId="35" fillId="2" borderId="0" xfId="0" applyFont="1" applyFill="1" applyAlignment="1">
      <alignment vertical="center" wrapText="1"/>
    </xf>
    <xf numFmtId="0" fontId="37" fillId="2" borderId="0" xfId="0" applyFont="1" applyFill="1" applyAlignment="1">
      <alignment vertical="center" wrapText="1"/>
    </xf>
    <xf numFmtId="0" fontId="5" fillId="0" borderId="57"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17" fillId="2" borderId="34" xfId="0" applyFont="1" applyFill="1" applyBorder="1" applyAlignment="1">
      <alignment horizontal="right" vertical="center" wrapText="1"/>
    </xf>
    <xf numFmtId="0" fontId="17" fillId="2" borderId="26" xfId="0" applyFont="1" applyFill="1" applyBorder="1" applyAlignment="1">
      <alignment horizontal="right" vertical="center" wrapText="1"/>
    </xf>
    <xf numFmtId="0" fontId="25" fillId="0" borderId="0" xfId="0" applyFont="1" applyAlignment="1">
      <alignment horizontal="center" vertical="center"/>
    </xf>
    <xf numFmtId="0" fontId="16" fillId="0" borderId="30" xfId="0" applyFont="1" applyBorder="1" applyAlignment="1">
      <alignment horizontal="left" vertical="center"/>
    </xf>
    <xf numFmtId="0" fontId="16" fillId="0" borderId="46" xfId="0" applyFont="1" applyBorder="1" applyAlignment="1">
      <alignment horizontal="left" vertical="center"/>
    </xf>
    <xf numFmtId="0" fontId="16" fillId="0" borderId="55" xfId="0" applyFont="1" applyBorder="1" applyAlignment="1">
      <alignment horizontal="left" vertical="center"/>
    </xf>
    <xf numFmtId="0" fontId="3" fillId="0" borderId="7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2" borderId="79" xfId="0" applyFont="1" applyFill="1" applyBorder="1" applyAlignment="1">
      <alignment horizontal="center"/>
    </xf>
    <xf numFmtId="0" fontId="3" fillId="2" borderId="80" xfId="0" applyFont="1" applyFill="1" applyBorder="1" applyAlignment="1">
      <alignment horizontal="center"/>
    </xf>
    <xf numFmtId="0" fontId="12" fillId="0" borderId="29" xfId="0" applyFont="1" applyBorder="1" applyAlignment="1">
      <alignment horizontal="left"/>
    </xf>
    <xf numFmtId="0" fontId="12" fillId="0" borderId="42" xfId="0" applyFont="1" applyBorder="1" applyAlignment="1">
      <alignment horizontal="left"/>
    </xf>
    <xf numFmtId="0" fontId="16" fillId="0" borderId="57" xfId="0" applyFont="1" applyBorder="1" applyAlignment="1">
      <alignment horizontal="left" vertical="center"/>
    </xf>
    <xf numFmtId="0" fontId="16" fillId="0" borderId="44" xfId="0" applyFont="1" applyBorder="1" applyAlignment="1">
      <alignment horizontal="left" vertical="center"/>
    </xf>
    <xf numFmtId="0" fontId="16" fillId="0" borderId="61" xfId="0" applyFont="1" applyBorder="1" applyAlignment="1">
      <alignment horizontal="left" vertical="center"/>
    </xf>
    <xf numFmtId="0" fontId="2" fillId="0" borderId="45" xfId="0" applyFont="1" applyBorder="1" applyAlignment="1" applyProtection="1">
      <alignment horizontal="left"/>
      <protection locked="0"/>
    </xf>
    <xf numFmtId="0" fontId="2" fillId="0" borderId="46" xfId="0" applyFont="1" applyBorder="1" applyAlignment="1" applyProtection="1">
      <alignment horizontal="left"/>
      <protection locked="0"/>
    </xf>
    <xf numFmtId="0" fontId="2" fillId="0" borderId="48" xfId="0" applyFont="1" applyBorder="1" applyAlignment="1" applyProtection="1">
      <alignment horizontal="left"/>
      <protection locked="0"/>
    </xf>
    <xf numFmtId="0" fontId="12" fillId="0" borderId="45"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3" fillId="2" borderId="45" xfId="0" applyFont="1" applyFill="1" applyBorder="1" applyAlignment="1">
      <alignment horizontal="center" wrapText="1"/>
    </xf>
    <xf numFmtId="0" fontId="3" fillId="2" borderId="55" xfId="0" applyFont="1" applyFill="1" applyBorder="1" applyAlignment="1">
      <alignment horizontal="center" wrapText="1"/>
    </xf>
    <xf numFmtId="0" fontId="3" fillId="2" borderId="30" xfId="0" applyFont="1" applyFill="1" applyBorder="1" applyAlignment="1">
      <alignment horizontal="center" wrapText="1"/>
    </xf>
    <xf numFmtId="0" fontId="2" fillId="0" borderId="29" xfId="0" applyFont="1" applyBorder="1" applyAlignment="1" applyProtection="1">
      <alignment horizontal="center"/>
      <protection locked="0"/>
    </xf>
    <xf numFmtId="0" fontId="2" fillId="0" borderId="18" xfId="0" applyFont="1" applyBorder="1" applyAlignment="1" applyProtection="1">
      <alignment horizontal="left"/>
      <protection locked="0"/>
    </xf>
    <xf numFmtId="0" fontId="2" fillId="0" borderId="81"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2" fillId="0" borderId="44"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12" fillId="0" borderId="57" xfId="0" applyFont="1" applyBorder="1" applyAlignment="1" applyProtection="1">
      <alignment horizontal="center" vertical="center"/>
      <protection locked="0"/>
    </xf>
    <xf numFmtId="0" fontId="12" fillId="2" borderId="74" xfId="0" applyFont="1" applyFill="1" applyBorder="1" applyAlignment="1">
      <alignment horizontal="center"/>
    </xf>
    <xf numFmtId="0" fontId="12" fillId="2" borderId="18" xfId="0" applyFont="1" applyFill="1" applyBorder="1" applyAlignment="1">
      <alignment horizontal="center"/>
    </xf>
    <xf numFmtId="0" fontId="12" fillId="2" borderId="81" xfId="0" applyFont="1" applyFill="1" applyBorder="1" applyAlignment="1">
      <alignment horizontal="center"/>
    </xf>
    <xf numFmtId="0" fontId="36" fillId="2" borderId="19"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0" xfId="0" applyFont="1" applyFill="1" applyAlignment="1">
      <alignment horizontal="center" vertical="center" wrapText="1"/>
    </xf>
    <xf numFmtId="0" fontId="39" fillId="2" borderId="0" xfId="0" applyFont="1" applyFill="1" applyAlignment="1">
      <alignment horizontal="left" vertical="center" wrapText="1"/>
    </xf>
    <xf numFmtId="0" fontId="39" fillId="2" borderId="21" xfId="0" applyFont="1" applyFill="1" applyBorder="1" applyAlignment="1">
      <alignment horizontal="left" vertical="center" wrapText="1"/>
    </xf>
    <xf numFmtId="0" fontId="35" fillId="2" borderId="0" xfId="0" applyFont="1" applyFill="1" applyAlignment="1">
      <alignment vertical="center"/>
    </xf>
    <xf numFmtId="0" fontId="35" fillId="2" borderId="21" xfId="0" applyFont="1" applyFill="1" applyBorder="1" applyAlignment="1">
      <alignment vertical="center"/>
    </xf>
    <xf numFmtId="166" fontId="12" fillId="0" borderId="29" xfId="0" applyNumberFormat="1" applyFont="1" applyBorder="1" applyAlignment="1">
      <alignment horizontal="center"/>
    </xf>
    <xf numFmtId="0" fontId="28" fillId="2" borderId="20" xfId="0" applyFont="1" applyFill="1" applyBorder="1" applyAlignment="1">
      <alignment horizontal="center" vertical="center" wrapText="1"/>
    </xf>
    <xf numFmtId="0" fontId="28" fillId="2" borderId="0" xfId="0" applyFont="1" applyFill="1" applyAlignment="1">
      <alignment horizontal="center" vertical="center" wrapText="1"/>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0" fontId="12" fillId="0" borderId="29" xfId="0" applyFont="1" applyBorder="1" applyAlignment="1">
      <alignment horizontal="center"/>
    </xf>
    <xf numFmtId="0" fontId="14" fillId="0" borderId="29" xfId="0" applyFont="1" applyBorder="1" applyAlignment="1">
      <alignment horizontal="center"/>
    </xf>
    <xf numFmtId="0" fontId="7" fillId="0" borderId="12" xfId="0" applyFont="1" applyBorder="1" applyAlignment="1">
      <alignment vertical="top" wrapText="1"/>
    </xf>
    <xf numFmtId="0" fontId="0" fillId="0" borderId="82" xfId="0" applyBorder="1" applyAlignment="1">
      <alignment vertical="top" wrapText="1"/>
    </xf>
    <xf numFmtId="0" fontId="8" fillId="5" borderId="83" xfId="0" applyFont="1" applyFill="1" applyBorder="1" applyAlignment="1">
      <alignment horizontal="center" vertical="top"/>
    </xf>
    <xf numFmtId="0" fontId="8" fillId="5" borderId="84" xfId="0" applyFont="1" applyFill="1" applyBorder="1" applyAlignment="1">
      <alignment horizontal="center" vertical="top"/>
    </xf>
    <xf numFmtId="0" fontId="8" fillId="5" borderId="85" xfId="0" applyFont="1" applyFill="1" applyBorder="1" applyAlignment="1">
      <alignment horizontal="center" vertical="top"/>
    </xf>
  </cellXfs>
  <cellStyles count="3">
    <cellStyle name="Komma" xfId="1" builtinId="3"/>
    <cellStyle name="Link" xfId="2" builtinId="8"/>
    <cellStyle name="Standard" xfId="0" builtinId="0"/>
  </cellStyles>
  <dxfs count="9">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indexed="10"/>
      </font>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9525</xdr:colOff>
      <xdr:row>41</xdr:row>
      <xdr:rowOff>0</xdr:rowOff>
    </xdr:from>
    <xdr:to>
      <xdr:col>22</xdr:col>
      <xdr:colOff>542925</xdr:colOff>
      <xdr:row>41</xdr:row>
      <xdr:rowOff>0</xdr:rowOff>
    </xdr:to>
    <xdr:sp macro="" textlink="">
      <xdr:nvSpPr>
        <xdr:cNvPr id="7170" name="Text Box 2">
          <a:extLst>
            <a:ext uri="{FF2B5EF4-FFF2-40B4-BE49-F238E27FC236}">
              <a16:creationId xmlns:a16="http://schemas.microsoft.com/office/drawing/2014/main" xmlns="" id="{00000000-0008-0000-0000-0000021C0000}"/>
            </a:ext>
          </a:extLst>
        </xdr:cNvPr>
        <xdr:cNvSpPr txBox="1">
          <a:spLocks noChangeArrowheads="1"/>
        </xdr:cNvSpPr>
      </xdr:nvSpPr>
      <xdr:spPr bwMode="auto">
        <a:xfrm>
          <a:off x="9525" y="7496175"/>
          <a:ext cx="839152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2. Ausfertigung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a:t>
          </a:r>
        </a:p>
      </xdr:txBody>
    </xdr:sp>
    <xdr:clientData fPrintsWithSheet="0"/>
  </xdr:twoCellAnchor>
  <mc:AlternateContent xmlns:mc="http://schemas.openxmlformats.org/markup-compatibility/2006">
    <mc:Choice xmlns:a14="http://schemas.microsoft.com/office/drawing/2010/main" Requires="a14">
      <xdr:twoCellAnchor>
        <xdr:from>
          <xdr:col>22</xdr:col>
          <xdr:colOff>552450</xdr:colOff>
          <xdr:row>13</xdr:row>
          <xdr:rowOff>9525</xdr:rowOff>
        </xdr:from>
        <xdr:to>
          <xdr:col>22</xdr:col>
          <xdr:colOff>1552575</xdr:colOff>
          <xdr:row>16</xdr:row>
          <xdr:rowOff>38100</xdr:rowOff>
        </xdr:to>
        <xdr:sp macro="" textlink="">
          <xdr:nvSpPr>
            <xdr:cNvPr id="7380" name="Button 212" hidden="1">
              <a:extLst>
                <a:ext uri="{63B3BB69-23CF-44E3-9099-C40C66FF867C}">
                  <a14:compatExt spid="_x0000_s7380"/>
                </a:ext>
                <a:ext uri="{FF2B5EF4-FFF2-40B4-BE49-F238E27FC236}">
                  <a16:creationId xmlns:a16="http://schemas.microsoft.com/office/drawing/2014/main" xmlns="" id="{00000000-0008-0000-0000-0000D4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Zeilen ohne "x" 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1762125</xdr:colOff>
          <xdr:row>13</xdr:row>
          <xdr:rowOff>9525</xdr:rowOff>
        </xdr:from>
        <xdr:to>
          <xdr:col>22</xdr:col>
          <xdr:colOff>2762250</xdr:colOff>
          <xdr:row>16</xdr:row>
          <xdr:rowOff>38100</xdr:rowOff>
        </xdr:to>
        <xdr:sp macro="" textlink="">
          <xdr:nvSpPr>
            <xdr:cNvPr id="7385" name="Button 217" hidden="1">
              <a:extLst>
                <a:ext uri="{63B3BB69-23CF-44E3-9099-C40C66FF867C}">
                  <a14:compatExt spid="_x0000_s7385"/>
                </a:ext>
                <a:ext uri="{FF2B5EF4-FFF2-40B4-BE49-F238E27FC236}">
                  <a16:creationId xmlns:a16="http://schemas.microsoft.com/office/drawing/2014/main" xmlns="" id="{00000000-0008-0000-0000-0000D9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Alle Zeilen einblenden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44</xdr:row>
      <xdr:rowOff>0</xdr:rowOff>
    </xdr:from>
    <xdr:to>
      <xdr:col>16</xdr:col>
      <xdr:colOff>542925</xdr:colOff>
      <xdr:row>44</xdr:row>
      <xdr:rowOff>0</xdr:rowOff>
    </xdr:to>
    <xdr:sp macro="" textlink="">
      <xdr:nvSpPr>
        <xdr:cNvPr id="1053" name="Text Box 29">
          <a:extLst>
            <a:ext uri="{FF2B5EF4-FFF2-40B4-BE49-F238E27FC236}">
              <a16:creationId xmlns:a16="http://schemas.microsoft.com/office/drawing/2014/main" xmlns="" id="{00000000-0008-0000-0100-00001D040000}"/>
            </a:ext>
          </a:extLst>
        </xdr:cNvPr>
        <xdr:cNvSpPr txBox="1">
          <a:spLocks noChangeArrowheads="1"/>
        </xdr:cNvSpPr>
      </xdr:nvSpPr>
      <xdr:spPr bwMode="auto">
        <a:xfrm>
          <a:off x="9525" y="8934450"/>
          <a:ext cx="678180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2. Ausfertigung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 —  </a:t>
          </a:r>
          <a:r>
            <a:rPr lang="de-DE" sz="1000" b="0" i="0" u="none" strike="noStrike" baseline="0">
              <a:solidFill>
                <a:srgbClr val="000000"/>
              </a:solidFill>
              <a:latin typeface="Wingdings"/>
            </a:rPr>
            <a:t>"</a:t>
          </a:r>
          <a:r>
            <a:rPr lang="de-DE" sz="1000" b="0" i="0" u="none" strike="noStrike" baseline="0">
              <a:solidFill>
                <a:srgbClr val="000000"/>
              </a:solidFill>
              <a:latin typeface="Arial"/>
              <a:cs typeface="Arial"/>
            </a:rPr>
            <a:t> — —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BmG"/>
  <dimension ref="A1:AP65"/>
  <sheetViews>
    <sheetView tabSelected="1" zoomScaleNormal="100" workbookViewId="0">
      <selection activeCell="W23" sqref="W23"/>
    </sheetView>
  </sheetViews>
  <sheetFormatPr baseColWidth="10" defaultRowHeight="12.75" x14ac:dyDescent="0.2"/>
  <cols>
    <col min="1" max="1" width="9.85546875" style="3" customWidth="1"/>
    <col min="2" max="2" width="7.85546875" style="1" customWidth="1"/>
    <col min="3" max="3" width="6.140625" style="1" customWidth="1"/>
    <col min="4" max="4" width="5.85546875" style="1" customWidth="1"/>
    <col min="5" max="6" width="4.42578125" style="1" customWidth="1"/>
    <col min="7" max="7" width="5.7109375" style="1" customWidth="1"/>
    <col min="8" max="9" width="4.42578125" style="1" customWidth="1"/>
    <col min="10" max="10" width="5.7109375" style="1" customWidth="1"/>
    <col min="11" max="12" width="4.42578125" style="1" customWidth="1"/>
    <col min="13" max="13" width="5.7109375" style="1" customWidth="1"/>
    <col min="14" max="15" width="4.42578125" style="1" customWidth="1"/>
    <col min="16" max="16" width="5.7109375" style="1" customWidth="1"/>
    <col min="17" max="17" width="2.5703125" style="1" customWidth="1"/>
    <col min="18" max="19" width="5.7109375" style="1" customWidth="1"/>
    <col min="20" max="20" width="4.42578125" style="1" bestFit="1" customWidth="1"/>
    <col min="21" max="21" width="5.7109375" style="1" customWidth="1"/>
    <col min="22" max="22" width="4.7109375" style="1" customWidth="1"/>
    <col min="23" max="23" width="76.140625" style="130" customWidth="1"/>
    <col min="24" max="24" width="12.28515625" style="181" hidden="1" customWidth="1"/>
    <col min="25" max="25" width="7.85546875" style="119" hidden="1" customWidth="1"/>
    <col min="26" max="26" width="5.140625" style="119" hidden="1" customWidth="1"/>
    <col min="27" max="27" width="6.7109375" style="119" hidden="1" customWidth="1"/>
    <col min="28" max="29" width="6.42578125" style="119" hidden="1" customWidth="1"/>
    <col min="30" max="30" width="4.28515625" style="119" hidden="1" customWidth="1"/>
    <col min="31" max="31" width="6.140625" style="120" hidden="1" customWidth="1"/>
    <col min="32" max="32" width="8" style="4" bestFit="1" customWidth="1"/>
    <col min="33" max="33" width="22" style="4" customWidth="1"/>
    <col min="34" max="34" width="28" style="235" customWidth="1"/>
    <col min="35" max="35" width="15.140625" style="121" customWidth="1"/>
    <col min="36" max="39" width="11.42578125" style="107"/>
    <col min="40" max="16384" width="11.42578125" style="1"/>
  </cols>
  <sheetData>
    <row r="1" spans="1:42" ht="15.75" customHeight="1" x14ac:dyDescent="0.25">
      <c r="A1" s="276" t="s">
        <v>93</v>
      </c>
      <c r="B1" s="277"/>
      <c r="C1" s="277"/>
      <c r="D1" s="265" t="s">
        <v>86</v>
      </c>
      <c r="E1" s="265"/>
      <c r="F1" s="265"/>
      <c r="G1" s="265"/>
      <c r="H1" s="265"/>
      <c r="I1" s="265"/>
      <c r="J1" s="265"/>
      <c r="K1" s="265"/>
      <c r="L1" s="265"/>
      <c r="M1" s="265"/>
      <c r="N1" s="265"/>
      <c r="O1" s="265"/>
      <c r="P1" s="265"/>
      <c r="Q1" s="124"/>
      <c r="R1" s="124"/>
      <c r="S1" s="124"/>
      <c r="T1" s="124"/>
      <c r="U1" s="124"/>
      <c r="V1" s="125"/>
      <c r="W1" s="230"/>
      <c r="X1" s="181" t="s">
        <v>60</v>
      </c>
      <c r="Y1" s="177">
        <f ca="1">MODE(X3:X6)</f>
        <v>0</v>
      </c>
      <c r="Z1" s="177"/>
      <c r="AA1" s="288" t="s">
        <v>64</v>
      </c>
      <c r="AB1" s="288"/>
      <c r="AC1" s="177"/>
      <c r="AD1" s="177"/>
      <c r="AE1" s="119"/>
      <c r="AF1" s="4" t="s">
        <v>67</v>
      </c>
      <c r="AG1" s="4" t="s">
        <v>68</v>
      </c>
      <c r="AH1" s="4" t="s">
        <v>69</v>
      </c>
      <c r="AI1" s="121" t="s">
        <v>3</v>
      </c>
      <c r="AN1" s="107"/>
    </row>
    <row r="2" spans="1:42" ht="12" customHeight="1" x14ac:dyDescent="0.2">
      <c r="A2" s="278"/>
      <c r="B2" s="279"/>
      <c r="C2" s="279"/>
      <c r="D2" s="266"/>
      <c r="E2" s="266"/>
      <c r="F2" s="266"/>
      <c r="G2" s="266"/>
      <c r="H2" s="266"/>
      <c r="I2" s="266"/>
      <c r="J2" s="266"/>
      <c r="K2" s="266"/>
      <c r="L2" s="266"/>
      <c r="M2" s="266"/>
      <c r="N2" s="266"/>
      <c r="O2" s="266"/>
      <c r="P2" s="266"/>
      <c r="Q2" s="39"/>
      <c r="R2" s="241" t="s">
        <v>91</v>
      </c>
      <c r="S2" s="7"/>
      <c r="T2" s="7"/>
      <c r="U2" s="7"/>
      <c r="V2" s="50"/>
      <c r="W2" s="230"/>
      <c r="X2" s="181" t="s">
        <v>62</v>
      </c>
      <c r="Y2" s="178" t="s">
        <v>63</v>
      </c>
      <c r="Z2" s="178" t="s">
        <v>52</v>
      </c>
      <c r="AA2" s="177" t="s">
        <v>57</v>
      </c>
      <c r="AB2" s="177" t="s">
        <v>54</v>
      </c>
      <c r="AC2" s="177" t="s">
        <v>83</v>
      </c>
      <c r="AD2" s="177" t="s">
        <v>61</v>
      </c>
      <c r="AE2" s="120" t="s">
        <v>50</v>
      </c>
      <c r="AH2" s="4"/>
      <c r="AN2" s="107"/>
      <c r="AO2" s="107"/>
      <c r="AP2" s="107"/>
    </row>
    <row r="3" spans="1:42" ht="12" customHeight="1" x14ac:dyDescent="0.2">
      <c r="A3" s="278"/>
      <c r="B3" s="279"/>
      <c r="C3" s="279"/>
      <c r="D3" s="266"/>
      <c r="E3" s="266"/>
      <c r="F3" s="266"/>
      <c r="G3" s="266"/>
      <c r="H3" s="266"/>
      <c r="I3" s="266"/>
      <c r="J3" s="266"/>
      <c r="K3" s="266"/>
      <c r="L3" s="266"/>
      <c r="M3" s="266"/>
      <c r="N3" s="266"/>
      <c r="O3" s="266"/>
      <c r="P3" s="266"/>
      <c r="Q3" s="7"/>
      <c r="R3" s="7"/>
      <c r="S3" s="7"/>
      <c r="T3" s="7"/>
      <c r="U3" s="7"/>
      <c r="V3" s="50"/>
      <c r="W3" s="231"/>
      <c r="X3" s="181">
        <f ca="1">IF(ISNUMBER(INDIRECT(AA3)),INDIRECT(AA3)+(INDIRECT(AB3)/100000)+IF(ISNUMBER(INDIRECT(AC3)),INDIRECT(AC3)/100000000,0),0)</f>
        <v>0</v>
      </c>
      <c r="Y3" s="178">
        <f ca="1">IF(AND(X3=$Y$1,$Y$1&gt;0),ROW()-2,0)</f>
        <v>0</v>
      </c>
      <c r="Z3" s="177">
        <f ca="1">5-RANK(X3,$X$3:$X$6,0)</f>
        <v>4</v>
      </c>
      <c r="AA3" s="177" t="str">
        <f>ADDRESS(AD3,21)</f>
        <v>$U$25</v>
      </c>
      <c r="AB3" s="177" t="str">
        <f>ADDRESS(AD3,19)</f>
        <v>$S$25</v>
      </c>
      <c r="AC3" s="177" t="str">
        <f>ADDRESS(AD3,20)</f>
        <v>$T$25</v>
      </c>
      <c r="AD3" s="177">
        <v>25</v>
      </c>
      <c r="AE3" s="127" t="str">
        <f ca="1">INDIRECT(ADDRESS(AD3,22))</f>
        <v/>
      </c>
      <c r="AF3" s="4" t="s">
        <v>95</v>
      </c>
      <c r="AG3" s="4" t="s">
        <v>116</v>
      </c>
      <c r="AH3" s="4" t="s">
        <v>111</v>
      </c>
      <c r="AI3" s="253" t="s">
        <v>112</v>
      </c>
      <c r="AN3" s="107"/>
      <c r="AO3" s="107"/>
      <c r="AP3" s="107"/>
    </row>
    <row r="4" spans="1:42" ht="12" customHeight="1" x14ac:dyDescent="0.2">
      <c r="A4" s="278"/>
      <c r="B4" s="279"/>
      <c r="C4" s="279"/>
      <c r="D4" s="266"/>
      <c r="E4" s="266"/>
      <c r="F4" s="266"/>
      <c r="G4" s="266"/>
      <c r="H4" s="266"/>
      <c r="I4" s="266"/>
      <c r="J4" s="266"/>
      <c r="K4" s="266"/>
      <c r="L4" s="266"/>
      <c r="M4" s="266"/>
      <c r="N4" s="266"/>
      <c r="O4" s="266"/>
      <c r="P4" s="266"/>
      <c r="Q4" s="7"/>
      <c r="R4" s="7"/>
      <c r="S4" s="7"/>
      <c r="T4" s="7"/>
      <c r="U4" s="7"/>
      <c r="V4" s="50"/>
      <c r="W4" s="230"/>
      <c r="X4" s="181">
        <f ca="1">IF(ISNUMBER(INDIRECT(AA4)),INDIRECT(AA4)+(INDIRECT(AB4)/100000)+IF(ISNUMBER(INDIRECT(AC4)),INDIRECT(AC4)/100000000,0),0)</f>
        <v>0</v>
      </c>
      <c r="Y4" s="178">
        <f ca="1">IF(AND(X4=$Y$1,$Y$1&gt;0),ROW()-2,0)</f>
        <v>0</v>
      </c>
      <c r="Z4" s="177">
        <f ca="1">5-RANK(X4,$X$3:$X$6,0)</f>
        <v>4</v>
      </c>
      <c r="AA4" s="177" t="str">
        <f>ADDRESS(AD4,21)</f>
        <v>$U$38</v>
      </c>
      <c r="AB4" s="177" t="str">
        <f>ADDRESS(AD4,19)</f>
        <v>$S$38</v>
      </c>
      <c r="AC4" s="177" t="str">
        <f>ADDRESS(AD4,20)</f>
        <v>$T$38</v>
      </c>
      <c r="AD4" s="177">
        <f>AD3+13</f>
        <v>38</v>
      </c>
      <c r="AE4" s="127" t="str">
        <f ca="1">INDIRECT(ADDRESS(AD4,22))</f>
        <v/>
      </c>
      <c r="AF4" s="4" t="s">
        <v>95</v>
      </c>
      <c r="AG4" s="233" t="s">
        <v>117</v>
      </c>
      <c r="AH4" s="4" t="s">
        <v>113</v>
      </c>
      <c r="AI4" s="121" t="s">
        <v>70</v>
      </c>
      <c r="AN4" s="107"/>
      <c r="AO4" s="107"/>
      <c r="AP4" s="107"/>
    </row>
    <row r="5" spans="1:42" ht="12" customHeight="1" x14ac:dyDescent="0.2">
      <c r="A5" s="278"/>
      <c r="B5" s="279"/>
      <c r="C5" s="279"/>
      <c r="D5" s="36"/>
      <c r="E5" s="126"/>
      <c r="F5" s="126"/>
      <c r="G5" s="126"/>
      <c r="H5" s="34"/>
      <c r="I5" s="34"/>
      <c r="J5" s="34"/>
      <c r="K5" s="35"/>
      <c r="L5" s="35"/>
      <c r="M5" s="6"/>
      <c r="N5" s="6"/>
      <c r="O5" s="6"/>
      <c r="P5" s="7"/>
      <c r="Q5" s="7"/>
      <c r="R5" s="7"/>
      <c r="S5" s="7"/>
      <c r="T5" s="7"/>
      <c r="U5" s="7"/>
      <c r="V5" s="50"/>
      <c r="W5" s="230"/>
      <c r="X5" s="181">
        <f ca="1">IF(ISNUMBER(INDIRECT(AA5)),INDIRECT(AA5)+(INDIRECT(AB5)/100000)+IF(ISNUMBER(INDIRECT(AC5)),INDIRECT(AC5)/100000000,0),0)</f>
        <v>0</v>
      </c>
      <c r="Y5" s="178">
        <f ca="1">IF(AND(X5=$Y$1,$Y$1&gt;0),ROW()-2,0)</f>
        <v>0</v>
      </c>
      <c r="Z5" s="177">
        <f ca="1">5-RANK(X5,$X$3:$X$6,0)</f>
        <v>4</v>
      </c>
      <c r="AA5" s="177" t="str">
        <f>ADDRESS(AD5,21)</f>
        <v>$U$51</v>
      </c>
      <c r="AB5" s="177" t="str">
        <f>ADDRESS(AD5,19)</f>
        <v>$S$51</v>
      </c>
      <c r="AC5" s="177" t="str">
        <f>ADDRESS(AD5,20)</f>
        <v>$T$51</v>
      </c>
      <c r="AD5" s="177">
        <f>AD4+13</f>
        <v>51</v>
      </c>
      <c r="AE5" s="127" t="str">
        <f ca="1">INDIRECT(ADDRESS(AD5,22))</f>
        <v/>
      </c>
      <c r="AF5" s="4" t="s">
        <v>95</v>
      </c>
      <c r="AG5" s="4" t="s">
        <v>107</v>
      </c>
      <c r="AH5" s="4" t="s">
        <v>108</v>
      </c>
      <c r="AI5" s="121" t="s">
        <v>70</v>
      </c>
      <c r="AN5" s="107"/>
      <c r="AO5" s="107"/>
      <c r="AP5" s="107"/>
    </row>
    <row r="6" spans="1:42" ht="12" customHeight="1" x14ac:dyDescent="0.2">
      <c r="A6" s="51"/>
      <c r="B6" s="112"/>
      <c r="C6" s="33"/>
      <c r="D6" s="7"/>
      <c r="E6" s="281" t="s">
        <v>94</v>
      </c>
      <c r="F6" s="281"/>
      <c r="G6" s="281"/>
      <c r="H6" s="281"/>
      <c r="I6" s="238"/>
      <c r="J6" s="280" t="s">
        <v>96</v>
      </c>
      <c r="K6" s="280"/>
      <c r="L6" s="280"/>
      <c r="M6" s="280"/>
      <c r="N6" s="6"/>
      <c r="O6" s="6"/>
      <c r="P6" s="7"/>
      <c r="Q6" s="5"/>
      <c r="R6" s="5"/>
      <c r="S6" s="5"/>
      <c r="T6" s="5"/>
      <c r="U6" s="5"/>
      <c r="V6" s="52"/>
      <c r="W6" s="230"/>
      <c r="X6" s="181">
        <f ca="1">IF(ISNUMBER(INDIRECT(AA6)),INDIRECT(AA6)+(INDIRECT(AB6)/100000)+IF(ISNUMBER(INDIRECT(AC6)),INDIRECT(AC6)/100000000,0),0)</f>
        <v>0</v>
      </c>
      <c r="Y6" s="178">
        <f ca="1">IF(AND(X6=$Y$1,$Y$1&gt;0),ROW()-2,0)</f>
        <v>0</v>
      </c>
      <c r="Z6" s="177">
        <f ca="1">5-RANK(X6,$X$3:$X$6,0)</f>
        <v>4</v>
      </c>
      <c r="AA6" s="177" t="str">
        <f>ADDRESS(AD6,21)</f>
        <v>$U$64</v>
      </c>
      <c r="AB6" s="177" t="str">
        <f>ADDRESS(AD6,19)</f>
        <v>$S$64</v>
      </c>
      <c r="AC6" s="177" t="str">
        <f>ADDRESS(AD6,20)</f>
        <v>$T$64</v>
      </c>
      <c r="AD6" s="177">
        <f>AD5+13</f>
        <v>64</v>
      </c>
      <c r="AE6" s="127" t="str">
        <f ca="1">INDIRECT(ADDRESS(AD6,22))</f>
        <v/>
      </c>
      <c r="AF6" s="4" t="s">
        <v>95</v>
      </c>
      <c r="AG6" s="4" t="s">
        <v>105</v>
      </c>
      <c r="AH6" s="4" t="s">
        <v>106</v>
      </c>
      <c r="AI6" s="121" t="s">
        <v>70</v>
      </c>
      <c r="AN6" s="107"/>
      <c r="AO6" s="107"/>
      <c r="AP6" s="107"/>
    </row>
    <row r="7" spans="1:42" ht="12" customHeight="1" x14ac:dyDescent="0.2">
      <c r="A7" s="51"/>
      <c r="B7" s="112"/>
      <c r="C7" s="33"/>
      <c r="D7" s="7"/>
      <c r="E7" s="281"/>
      <c r="F7" s="281"/>
      <c r="G7" s="281"/>
      <c r="H7" s="281"/>
      <c r="I7" s="238"/>
      <c r="J7" s="280"/>
      <c r="K7" s="280"/>
      <c r="L7" s="280"/>
      <c r="M7" s="280"/>
      <c r="N7" s="6"/>
      <c r="O7" s="6"/>
      <c r="P7" s="7"/>
      <c r="Q7" s="39"/>
      <c r="R7" s="240" t="s">
        <v>30</v>
      </c>
      <c r="S7" s="8"/>
      <c r="T7" s="8"/>
      <c r="U7" s="8"/>
      <c r="V7" s="52"/>
      <c r="W7" s="230"/>
      <c r="AA7" s="120"/>
      <c r="AB7" s="120"/>
      <c r="AC7" s="120"/>
      <c r="AD7" s="121"/>
      <c r="AE7" s="127">
        <f ca="1">SUM(AE3:AE6)</f>
        <v>0</v>
      </c>
      <c r="AF7" s="4" t="s">
        <v>95</v>
      </c>
      <c r="AG7" s="4" t="s">
        <v>99</v>
      </c>
      <c r="AH7" s="4" t="s">
        <v>100</v>
      </c>
      <c r="AI7" s="253" t="s">
        <v>112</v>
      </c>
      <c r="AN7" s="107"/>
    </row>
    <row r="8" spans="1:42" ht="12" customHeight="1" x14ac:dyDescent="0.2">
      <c r="A8" s="53"/>
      <c r="B8" s="5"/>
      <c r="C8" s="5"/>
      <c r="D8" s="8"/>
      <c r="E8" s="238"/>
      <c r="F8" s="238"/>
      <c r="G8" s="238"/>
      <c r="H8" s="238"/>
      <c r="I8" s="238"/>
      <c r="J8" s="238"/>
      <c r="K8" s="238"/>
      <c r="L8" s="238"/>
      <c r="M8" s="238"/>
      <c r="N8" s="6"/>
      <c r="O8" s="6"/>
      <c r="P8" s="5"/>
      <c r="Q8" s="39"/>
      <c r="R8" s="240" t="s">
        <v>31</v>
      </c>
      <c r="S8" s="8"/>
      <c r="T8" s="8"/>
      <c r="U8" s="8"/>
      <c r="V8" s="52"/>
      <c r="W8" s="230"/>
      <c r="AA8" s="120"/>
      <c r="AB8" s="121"/>
      <c r="AC8" s="121"/>
      <c r="AE8" s="121"/>
      <c r="AF8" s="4" t="s">
        <v>95</v>
      </c>
      <c r="AG8" s="4" t="s">
        <v>109</v>
      </c>
      <c r="AH8" s="4" t="s">
        <v>110</v>
      </c>
      <c r="AI8" s="121" t="s">
        <v>70</v>
      </c>
    </row>
    <row r="9" spans="1:42" ht="4.5" customHeight="1" x14ac:dyDescent="0.2">
      <c r="A9" s="54"/>
      <c r="B9" s="113"/>
      <c r="C9" s="67"/>
      <c r="D9" s="67"/>
      <c r="E9" s="238"/>
      <c r="F9" s="238"/>
      <c r="G9" s="238"/>
      <c r="H9" s="238"/>
      <c r="I9" s="238"/>
      <c r="J9" s="238"/>
      <c r="K9" s="238"/>
      <c r="L9" s="238"/>
      <c r="M9" s="238"/>
      <c r="N9" s="37"/>
      <c r="O9" s="37"/>
      <c r="P9" s="37"/>
      <c r="Q9" s="37"/>
      <c r="R9" s="37"/>
      <c r="S9" s="37"/>
      <c r="T9" s="37"/>
      <c r="U9" s="37"/>
      <c r="V9" s="52"/>
      <c r="W9" s="230"/>
      <c r="AA9" s="120"/>
      <c r="AB9" s="121"/>
      <c r="AC9" s="121"/>
      <c r="AE9" s="121"/>
      <c r="AF9" s="4" t="s">
        <v>95</v>
      </c>
      <c r="AG9" s="4" t="s">
        <v>114</v>
      </c>
      <c r="AH9" s="4" t="s">
        <v>115</v>
      </c>
      <c r="AI9" s="253" t="s">
        <v>112</v>
      </c>
    </row>
    <row r="10" spans="1:42" ht="21.75" customHeight="1" x14ac:dyDescent="0.25">
      <c r="A10" s="55" t="s">
        <v>11</v>
      </c>
      <c r="B10" s="268"/>
      <c r="C10" s="268"/>
      <c r="D10" s="268"/>
      <c r="E10" s="268"/>
      <c r="F10" s="268"/>
      <c r="G10" s="268"/>
      <c r="H10" s="268"/>
      <c r="I10" s="268"/>
      <c r="J10" s="268"/>
      <c r="K10" s="268"/>
      <c r="L10" s="268"/>
      <c r="M10" s="268"/>
      <c r="N10" s="12"/>
      <c r="O10" s="12" t="s">
        <v>79</v>
      </c>
      <c r="P10" s="96">
        <v>1</v>
      </c>
      <c r="Q10" s="97" t="s">
        <v>56</v>
      </c>
      <c r="R10" s="98">
        <f>P10+3</f>
        <v>4</v>
      </c>
      <c r="S10" s="81"/>
      <c r="T10" s="81"/>
      <c r="U10" s="154"/>
      <c r="V10" s="56"/>
      <c r="W10" s="230"/>
      <c r="X10" s="182" t="s">
        <v>65</v>
      </c>
      <c r="AA10" s="120"/>
      <c r="AB10" s="121"/>
      <c r="AC10" s="121"/>
      <c r="AE10" s="121"/>
      <c r="AH10" s="4"/>
    </row>
    <row r="11" spans="1:42" ht="4.5" customHeight="1" x14ac:dyDescent="0.2">
      <c r="A11" s="54"/>
      <c r="B11" s="113"/>
      <c r="C11" s="67"/>
      <c r="D11" s="67"/>
      <c r="E11" s="67"/>
      <c r="F11" s="67"/>
      <c r="G11" s="67"/>
      <c r="H11" s="67"/>
      <c r="I11" s="67"/>
      <c r="J11" s="67"/>
      <c r="K11" s="68"/>
      <c r="L11" s="68"/>
      <c r="M11" s="68"/>
      <c r="N11" s="37"/>
      <c r="O11" s="37"/>
      <c r="P11" s="37"/>
      <c r="Q11" s="37"/>
      <c r="R11" s="37"/>
      <c r="S11" s="37"/>
      <c r="T11" s="37"/>
      <c r="U11" s="37"/>
      <c r="V11" s="71"/>
      <c r="W11" s="230"/>
      <c r="AA11" s="120"/>
      <c r="AB11" s="121"/>
      <c r="AC11" s="121"/>
      <c r="AE11" s="121"/>
      <c r="AH11" s="4"/>
    </row>
    <row r="12" spans="1:42" ht="21.75" customHeight="1" x14ac:dyDescent="0.25">
      <c r="A12" s="55"/>
      <c r="B12" s="37" t="s">
        <v>33</v>
      </c>
      <c r="C12" s="267"/>
      <c r="D12" s="267"/>
      <c r="E12" s="267"/>
      <c r="F12" s="267"/>
      <c r="G12" s="211"/>
      <c r="H12" s="155"/>
      <c r="I12" s="155"/>
      <c r="J12" s="67"/>
      <c r="K12" s="67"/>
      <c r="L12" s="67"/>
      <c r="M12" s="37"/>
      <c r="N12" s="37"/>
      <c r="O12" s="37" t="s">
        <v>43</v>
      </c>
      <c r="P12" s="75"/>
      <c r="Q12" s="156"/>
      <c r="R12" s="12"/>
      <c r="S12" s="12"/>
      <c r="T12" s="12"/>
      <c r="U12" s="12"/>
      <c r="V12" s="56"/>
      <c r="W12" s="230"/>
      <c r="AA12" s="120"/>
      <c r="AB12" s="121"/>
      <c r="AC12" s="121"/>
      <c r="AE12" s="121"/>
      <c r="AH12" s="4"/>
    </row>
    <row r="13" spans="1:42" ht="4.5" customHeight="1" thickBot="1" x14ac:dyDescent="0.25">
      <c r="A13" s="64"/>
      <c r="B13" s="114"/>
      <c r="C13" s="72"/>
      <c r="D13" s="72"/>
      <c r="E13" s="72"/>
      <c r="F13" s="72"/>
      <c r="G13" s="72"/>
      <c r="H13" s="72"/>
      <c r="I13" s="72"/>
      <c r="J13" s="72"/>
      <c r="K13" s="73"/>
      <c r="L13" s="73"/>
      <c r="M13" s="73"/>
      <c r="N13" s="65"/>
      <c r="O13" s="65"/>
      <c r="P13" s="65"/>
      <c r="Q13" s="65"/>
      <c r="R13" s="65"/>
      <c r="S13" s="65"/>
      <c r="T13" s="65"/>
      <c r="U13" s="65"/>
      <c r="V13" s="70"/>
      <c r="W13" s="230"/>
      <c r="AA13" s="120"/>
      <c r="AB13" s="121"/>
      <c r="AC13" s="121"/>
      <c r="AE13" s="121"/>
      <c r="AH13" s="4"/>
    </row>
    <row r="14" spans="1:42" ht="6" customHeight="1" x14ac:dyDescent="0.2">
      <c r="A14" s="48"/>
      <c r="B14" s="111"/>
      <c r="C14" s="66"/>
      <c r="D14" s="66"/>
      <c r="E14" s="66"/>
      <c r="F14" s="66"/>
      <c r="G14" s="66"/>
      <c r="H14" s="66"/>
      <c r="I14" s="66"/>
      <c r="J14" s="66"/>
      <c r="K14" s="270" t="str">
        <f ca="1">IF(ISERROR($X$15),"","Achtung !!!   Mindestens "&amp;$AB$15&amp;" Spieler haben "&amp;ROUND($X$15,0)&amp;" Holz:  -")</f>
        <v/>
      </c>
      <c r="L14" s="270"/>
      <c r="M14" s="270"/>
      <c r="N14" s="270"/>
      <c r="O14" s="270"/>
      <c r="P14" s="270"/>
      <c r="Q14" s="270"/>
      <c r="R14" s="270"/>
      <c r="S14" s="270"/>
      <c r="T14" s="270"/>
      <c r="U14" s="270"/>
      <c r="V14" s="271"/>
      <c r="W14" s="230"/>
      <c r="X14" s="181" t="s">
        <v>60</v>
      </c>
      <c r="AE14" s="119"/>
      <c r="AH14" s="4"/>
      <c r="AK14" s="88"/>
      <c r="AL14" s="4"/>
      <c r="AN14" s="2"/>
    </row>
    <row r="15" spans="1:42" ht="15.95" customHeight="1" x14ac:dyDescent="0.25">
      <c r="A15" s="55" t="s">
        <v>32</v>
      </c>
      <c r="B15" s="269"/>
      <c r="C15" s="269"/>
      <c r="D15" s="269"/>
      <c r="E15" s="269"/>
      <c r="F15" s="269"/>
      <c r="G15" s="269"/>
      <c r="H15" s="269"/>
      <c r="I15" s="212"/>
      <c r="J15" s="154"/>
      <c r="K15" s="272" t="str">
        <f ca="1">IF(ISERROR($X$15),"",INDIRECT(ADDRESS($Y$15,2))&amp;IF($AB$15&gt;2,", "&amp;INDIRECT(ADDRESS($AA$15,2)),"")&amp;" und "&amp;INDIRECT(ADDRESS($Z$15,2))&amp;" ---- NEUNER und KRÄNZE ermitteln und in der Spalte N/K eintragen.")</f>
        <v/>
      </c>
      <c r="L15" s="272"/>
      <c r="M15" s="272"/>
      <c r="N15" s="272"/>
      <c r="O15" s="272"/>
      <c r="P15" s="272"/>
      <c r="Q15" s="272"/>
      <c r="R15" s="272"/>
      <c r="S15" s="272"/>
      <c r="T15" s="272"/>
      <c r="U15" s="272"/>
      <c r="V15" s="273"/>
      <c r="W15" s="230"/>
      <c r="X15" s="181" t="e">
        <f ca="1">MODE(X19:X63)</f>
        <v>#N/A</v>
      </c>
      <c r="Y15" s="119" t="e">
        <f ca="1">MIN($Y$19:$Y$63)</f>
        <v>#N/A</v>
      </c>
      <c r="Z15" s="119" t="e">
        <f ca="1">MAX($Y$19:$Y$63)</f>
        <v>#N/A</v>
      </c>
      <c r="AA15" s="119" t="str">
        <f ca="1">IF(AB15&gt;2,SUM($Y$19:$Y$63)-Y15-Z15,"")</f>
        <v/>
      </c>
      <c r="AB15" s="119">
        <f ca="1">COUNTIF(Y19:Y63,"&gt;0")</f>
        <v>0</v>
      </c>
      <c r="AE15" s="119"/>
      <c r="AH15" s="4"/>
      <c r="AK15" s="88"/>
      <c r="AL15" s="4"/>
      <c r="AN15" s="2"/>
    </row>
    <row r="16" spans="1:42" ht="4.5" customHeight="1" x14ac:dyDescent="0.2">
      <c r="A16" s="57"/>
      <c r="B16" s="40"/>
      <c r="C16" s="40"/>
      <c r="D16" s="40"/>
      <c r="E16" s="40"/>
      <c r="F16" s="40"/>
      <c r="G16" s="40"/>
      <c r="H16" s="40"/>
      <c r="I16" s="40"/>
      <c r="J16" s="40"/>
      <c r="K16" s="274"/>
      <c r="L16" s="274"/>
      <c r="M16" s="274"/>
      <c r="N16" s="274"/>
      <c r="O16" s="274"/>
      <c r="P16" s="274"/>
      <c r="Q16" s="274"/>
      <c r="R16" s="274"/>
      <c r="S16" s="274"/>
      <c r="T16" s="274"/>
      <c r="U16" s="274"/>
      <c r="V16" s="275"/>
      <c r="W16" s="230"/>
      <c r="AE16" s="119"/>
      <c r="AH16" s="4"/>
      <c r="AK16" s="88"/>
      <c r="AL16" s="4"/>
      <c r="AN16" s="2"/>
    </row>
    <row r="17" spans="1:41" ht="9.75" customHeight="1" x14ac:dyDescent="0.2">
      <c r="A17" s="128"/>
      <c r="B17" s="115"/>
      <c r="C17" s="89"/>
      <c r="D17" s="89"/>
      <c r="E17" s="256" t="str">
        <f>"Bahn " &amp; $P$10</f>
        <v>Bahn 1</v>
      </c>
      <c r="F17" s="257"/>
      <c r="G17" s="258"/>
      <c r="H17" s="256" t="str">
        <f>"Bahn " &amp; RIGHT(E17,2)+1</f>
        <v>Bahn 2</v>
      </c>
      <c r="I17" s="257"/>
      <c r="J17" s="258"/>
      <c r="K17" s="256" t="str">
        <f>"Bahn " &amp; RIGHT(H17,2)+1</f>
        <v>Bahn 3</v>
      </c>
      <c r="L17" s="257"/>
      <c r="M17" s="258"/>
      <c r="N17" s="256" t="str">
        <f>"Bahn " &amp; RIGHT(K17,2)+1</f>
        <v>Bahn 4</v>
      </c>
      <c r="O17" s="257"/>
      <c r="P17" s="258"/>
      <c r="Q17" s="222"/>
      <c r="R17" s="259" t="s">
        <v>55</v>
      </c>
      <c r="S17" s="260"/>
      <c r="T17" s="261"/>
      <c r="U17" s="262"/>
      <c r="V17" s="99"/>
      <c r="W17" s="234"/>
      <c r="Y17" s="121" t="s">
        <v>58</v>
      </c>
      <c r="AE17" s="119"/>
      <c r="AH17" s="4"/>
      <c r="AJ17" s="4"/>
    </row>
    <row r="18" spans="1:41" ht="9.75" customHeight="1" x14ac:dyDescent="0.2">
      <c r="A18" s="129" t="s">
        <v>14</v>
      </c>
      <c r="B18" s="116" t="s">
        <v>13</v>
      </c>
      <c r="C18" s="91"/>
      <c r="D18" s="106"/>
      <c r="E18" s="129" t="s">
        <v>53</v>
      </c>
      <c r="F18" s="92" t="s">
        <v>54</v>
      </c>
      <c r="G18" s="100" t="s">
        <v>55</v>
      </c>
      <c r="H18" s="129" t="s">
        <v>53</v>
      </c>
      <c r="I18" s="92" t="s">
        <v>54</v>
      </c>
      <c r="J18" s="100" t="s">
        <v>55</v>
      </c>
      <c r="K18" s="129" t="s">
        <v>53</v>
      </c>
      <c r="L18" s="92" t="s">
        <v>54</v>
      </c>
      <c r="M18" s="100" t="s">
        <v>55</v>
      </c>
      <c r="N18" s="129" t="s">
        <v>53</v>
      </c>
      <c r="O18" s="92" t="s">
        <v>54</v>
      </c>
      <c r="P18" s="100" t="s">
        <v>55</v>
      </c>
      <c r="Q18" s="227"/>
      <c r="R18" s="90" t="s">
        <v>53</v>
      </c>
      <c r="S18" s="93" t="s">
        <v>54</v>
      </c>
      <c r="T18" s="93" t="s">
        <v>82</v>
      </c>
      <c r="U18" s="92" t="s">
        <v>57</v>
      </c>
      <c r="V18" s="100" t="s">
        <v>50</v>
      </c>
      <c r="W18" s="234"/>
      <c r="X18" s="181" t="s">
        <v>57</v>
      </c>
      <c r="Y18" s="121" t="s">
        <v>59</v>
      </c>
      <c r="Z18" s="121" t="s">
        <v>52</v>
      </c>
      <c r="AA18" s="121" t="s">
        <v>66</v>
      </c>
      <c r="AB18" s="121"/>
      <c r="AC18" s="121"/>
      <c r="AD18" s="122"/>
      <c r="AE18" s="119"/>
      <c r="AG18" s="88"/>
      <c r="AH18" s="4"/>
      <c r="AJ18" s="4"/>
      <c r="AK18" s="109"/>
    </row>
    <row r="19" spans="1:41" ht="19.7" customHeight="1" x14ac:dyDescent="0.2">
      <c r="A19" s="101"/>
      <c r="B19" s="263"/>
      <c r="C19" s="264"/>
      <c r="D19" s="264"/>
      <c r="E19" s="101"/>
      <c r="F19" s="213" t="str">
        <f t="shared" ref="F19:F24" si="0">IF(ISBLANK(G19),"",G19-E19)</f>
        <v/>
      </c>
      <c r="G19" s="223"/>
      <c r="H19" s="101"/>
      <c r="I19" s="213" t="str">
        <f t="shared" ref="I19:I24" si="1">IF(ISBLANK(J19),"",J19-H19)</f>
        <v/>
      </c>
      <c r="J19" s="223"/>
      <c r="K19" s="101"/>
      <c r="L19" s="213" t="str">
        <f t="shared" ref="L19:L24" si="2">IF(ISBLANK(M19),"",M19-K19)</f>
        <v/>
      </c>
      <c r="M19" s="223"/>
      <c r="N19" s="101"/>
      <c r="O19" s="213" t="str">
        <f t="shared" ref="O19:O24" si="3">IF(ISBLANK(P19),"",P19-N19)</f>
        <v/>
      </c>
      <c r="P19" s="223"/>
      <c r="Q19" s="228"/>
      <c r="R19" s="158" t="str">
        <f>IF(SUM(E19,H19,K19,N19)&gt;0,SUM(E19,H19,K19,N19),"")</f>
        <v/>
      </c>
      <c r="S19" s="175" t="str">
        <f t="shared" ref="R19:S24" si="4">IF(SUM(F19,I19,L19,O19)&gt;0,SUM(F19,I19,L19,O19),"")</f>
        <v/>
      </c>
      <c r="T19" s="205"/>
      <c r="U19" s="179" t="str">
        <f t="shared" ref="U19:U24" si="5">IF(AND(R19&lt;&gt;"",S19&lt;&gt;""),SUM(G19,J19,M19,P19)+(S19/10000)+IF(ISNUMBER(T19),(T19/10000000),0),"")</f>
        <v/>
      </c>
      <c r="V19" s="180" t="str">
        <f t="shared" ref="V19:V24" ca="1" si="6">IF(U19&gt;0,INDIRECT(ADDRESS(ROW(),26)),"")</f>
        <v/>
      </c>
      <c r="W19" s="234" t="s">
        <v>90</v>
      </c>
      <c r="X19" s="181" t="str">
        <f t="shared" ref="X19:X24" ca="1" si="7">INDIRECT(ADDRESS(ROW(),COLUMN()-3))</f>
        <v/>
      </c>
      <c r="Y19" s="119" t="e">
        <f t="shared" ref="Y19:Y24" ca="1" si="8">IF(X19=$X$15,ROW(),"")</f>
        <v>#N/A</v>
      </c>
      <c r="Z19" s="119" t="str">
        <f t="shared" ref="Z19:Z24" ca="1" si="9">IF(ISNUMBER(X19),25-RANK(X19,$X$19:$X$63,0),"")</f>
        <v/>
      </c>
      <c r="AE19" s="119"/>
      <c r="AH19" s="4"/>
      <c r="AK19" s="108"/>
      <c r="AN19" s="2"/>
      <c r="AO19" s="13"/>
    </row>
    <row r="20" spans="1:41" ht="19.7" customHeight="1" x14ac:dyDescent="0.2">
      <c r="A20" s="101"/>
      <c r="B20" s="254"/>
      <c r="C20" s="255"/>
      <c r="D20" s="255"/>
      <c r="E20" s="101"/>
      <c r="F20" s="213" t="str">
        <f t="shared" si="0"/>
        <v/>
      </c>
      <c r="G20" s="223"/>
      <c r="H20" s="101"/>
      <c r="I20" s="213" t="str">
        <f t="shared" si="1"/>
        <v/>
      </c>
      <c r="J20" s="223"/>
      <c r="K20" s="101"/>
      <c r="L20" s="213" t="str">
        <f t="shared" si="2"/>
        <v/>
      </c>
      <c r="M20" s="223"/>
      <c r="N20" s="101"/>
      <c r="O20" s="213" t="str">
        <f t="shared" si="3"/>
        <v/>
      </c>
      <c r="P20" s="223"/>
      <c r="Q20" s="228"/>
      <c r="R20" s="158" t="str">
        <f t="shared" si="4"/>
        <v/>
      </c>
      <c r="S20" s="175" t="str">
        <f t="shared" si="4"/>
        <v/>
      </c>
      <c r="T20" s="205"/>
      <c r="U20" s="179" t="str">
        <f t="shared" si="5"/>
        <v/>
      </c>
      <c r="V20" s="180" t="str">
        <f t="shared" ca="1" si="6"/>
        <v/>
      </c>
      <c r="W20" s="230"/>
      <c r="X20" s="181" t="str">
        <f t="shared" ca="1" si="7"/>
        <v/>
      </c>
      <c r="Y20" s="119" t="e">
        <f t="shared" ca="1" si="8"/>
        <v>#N/A</v>
      </c>
      <c r="Z20" s="119" t="str">
        <f t="shared" ca="1" si="9"/>
        <v/>
      </c>
      <c r="AE20" s="119"/>
      <c r="AH20" s="109"/>
      <c r="AK20" s="108"/>
      <c r="AN20" s="2"/>
      <c r="AO20" s="13"/>
    </row>
    <row r="21" spans="1:41" ht="19.7" customHeight="1" x14ac:dyDescent="0.2">
      <c r="A21" s="101"/>
      <c r="B21" s="254"/>
      <c r="C21" s="255"/>
      <c r="D21" s="255"/>
      <c r="E21" s="101"/>
      <c r="F21" s="213" t="str">
        <f t="shared" si="0"/>
        <v/>
      </c>
      <c r="G21" s="223"/>
      <c r="H21" s="101"/>
      <c r="I21" s="213" t="str">
        <f t="shared" si="1"/>
        <v/>
      </c>
      <c r="J21" s="223"/>
      <c r="K21" s="101"/>
      <c r="L21" s="213" t="str">
        <f t="shared" si="2"/>
        <v/>
      </c>
      <c r="M21" s="223"/>
      <c r="N21" s="101"/>
      <c r="O21" s="213" t="str">
        <f t="shared" si="3"/>
        <v/>
      </c>
      <c r="P21" s="223"/>
      <c r="Q21" s="228"/>
      <c r="R21" s="158" t="str">
        <f t="shared" si="4"/>
        <v/>
      </c>
      <c r="S21" s="175" t="str">
        <f t="shared" si="4"/>
        <v/>
      </c>
      <c r="T21" s="205"/>
      <c r="U21" s="179" t="str">
        <f t="shared" si="5"/>
        <v/>
      </c>
      <c r="V21" s="180" t="str">
        <f t="shared" ca="1" si="6"/>
        <v/>
      </c>
      <c r="W21" s="230"/>
      <c r="X21" s="181" t="str">
        <f t="shared" ca="1" si="7"/>
        <v/>
      </c>
      <c r="Y21" s="119" t="e">
        <f t="shared" ca="1" si="8"/>
        <v>#N/A</v>
      </c>
      <c r="Z21" s="119" t="str">
        <f t="shared" ca="1" si="9"/>
        <v/>
      </c>
      <c r="AE21" s="119"/>
      <c r="AH21" s="109"/>
      <c r="AK21" s="108"/>
      <c r="AN21" s="2"/>
      <c r="AO21" s="13"/>
    </row>
    <row r="22" spans="1:41" ht="19.7" customHeight="1" x14ac:dyDescent="0.2">
      <c r="A22" s="101"/>
      <c r="B22" s="254"/>
      <c r="C22" s="255"/>
      <c r="D22" s="255"/>
      <c r="E22" s="101"/>
      <c r="F22" s="213" t="str">
        <f t="shared" si="0"/>
        <v/>
      </c>
      <c r="G22" s="223"/>
      <c r="H22" s="101"/>
      <c r="I22" s="213" t="str">
        <f t="shared" si="1"/>
        <v/>
      </c>
      <c r="J22" s="223"/>
      <c r="K22" s="101"/>
      <c r="L22" s="213" t="str">
        <f t="shared" si="2"/>
        <v/>
      </c>
      <c r="M22" s="223"/>
      <c r="N22" s="101"/>
      <c r="O22" s="213" t="str">
        <f t="shared" si="3"/>
        <v/>
      </c>
      <c r="P22" s="223"/>
      <c r="Q22" s="228"/>
      <c r="R22" s="158" t="str">
        <f t="shared" si="4"/>
        <v/>
      </c>
      <c r="S22" s="175" t="str">
        <f t="shared" si="4"/>
        <v/>
      </c>
      <c r="T22" s="205"/>
      <c r="U22" s="179" t="str">
        <f t="shared" si="5"/>
        <v/>
      </c>
      <c r="V22" s="180" t="str">
        <f t="shared" ca="1" si="6"/>
        <v/>
      </c>
      <c r="W22" s="230"/>
      <c r="X22" s="181" t="str">
        <f t="shared" ca="1" si="7"/>
        <v/>
      </c>
      <c r="Y22" s="119" t="e">
        <f t="shared" ca="1" si="8"/>
        <v>#N/A</v>
      </c>
      <c r="Z22" s="119" t="str">
        <f t="shared" ca="1" si="9"/>
        <v/>
      </c>
      <c r="AE22" s="119"/>
      <c r="AH22" s="109"/>
      <c r="AK22" s="108"/>
      <c r="AL22" s="4"/>
      <c r="AN22" s="2"/>
      <c r="AO22" s="13"/>
    </row>
    <row r="23" spans="1:41" ht="19.7" customHeight="1" x14ac:dyDescent="0.2">
      <c r="A23" s="101"/>
      <c r="B23" s="254"/>
      <c r="C23" s="255"/>
      <c r="D23" s="255"/>
      <c r="E23" s="101"/>
      <c r="F23" s="213" t="str">
        <f t="shared" si="0"/>
        <v/>
      </c>
      <c r="G23" s="223"/>
      <c r="H23" s="101"/>
      <c r="I23" s="213" t="str">
        <f t="shared" si="1"/>
        <v/>
      </c>
      <c r="J23" s="223"/>
      <c r="K23" s="101"/>
      <c r="L23" s="213" t="str">
        <f t="shared" si="2"/>
        <v/>
      </c>
      <c r="M23" s="223"/>
      <c r="N23" s="101"/>
      <c r="O23" s="213" t="str">
        <f t="shared" si="3"/>
        <v/>
      </c>
      <c r="P23" s="223"/>
      <c r="Q23" s="228"/>
      <c r="R23" s="158" t="str">
        <f t="shared" si="4"/>
        <v/>
      </c>
      <c r="S23" s="175" t="str">
        <f t="shared" si="4"/>
        <v/>
      </c>
      <c r="T23" s="205"/>
      <c r="U23" s="179" t="str">
        <f t="shared" si="5"/>
        <v/>
      </c>
      <c r="V23" s="180" t="str">
        <f t="shared" ca="1" si="6"/>
        <v/>
      </c>
      <c r="W23" s="232"/>
      <c r="X23" s="181" t="str">
        <f t="shared" ca="1" si="7"/>
        <v/>
      </c>
      <c r="Y23" s="119" t="e">
        <f t="shared" ca="1" si="8"/>
        <v>#N/A</v>
      </c>
      <c r="Z23" s="119" t="str">
        <f t="shared" ca="1" si="9"/>
        <v/>
      </c>
      <c r="AE23" s="119"/>
      <c r="AH23" s="109"/>
      <c r="AK23" s="88"/>
      <c r="AL23" s="4"/>
      <c r="AN23" s="2"/>
      <c r="AO23" s="13"/>
    </row>
    <row r="24" spans="1:41" ht="19.7" customHeight="1" x14ac:dyDescent="0.2">
      <c r="A24" s="101"/>
      <c r="B24" s="282"/>
      <c r="C24" s="283"/>
      <c r="D24" s="283"/>
      <c r="E24" s="224"/>
      <c r="F24" s="225" t="str">
        <f t="shared" si="0"/>
        <v/>
      </c>
      <c r="G24" s="226"/>
      <c r="H24" s="224"/>
      <c r="I24" s="225" t="str">
        <f t="shared" si="1"/>
        <v/>
      </c>
      <c r="J24" s="226"/>
      <c r="K24" s="224"/>
      <c r="L24" s="225" t="str">
        <f t="shared" si="2"/>
        <v/>
      </c>
      <c r="M24" s="226"/>
      <c r="N24" s="224"/>
      <c r="O24" s="225" t="str">
        <f t="shared" si="3"/>
        <v/>
      </c>
      <c r="P24" s="226"/>
      <c r="Q24" s="229"/>
      <c r="R24" s="158" t="str">
        <f t="shared" si="4"/>
        <v/>
      </c>
      <c r="S24" s="215" t="str">
        <f t="shared" si="4"/>
        <v/>
      </c>
      <c r="T24" s="205"/>
      <c r="U24" s="179" t="str">
        <f t="shared" si="5"/>
        <v/>
      </c>
      <c r="V24" s="216" t="str">
        <f t="shared" ca="1" si="6"/>
        <v/>
      </c>
      <c r="W24" s="232"/>
      <c r="X24" s="181" t="str">
        <f t="shared" ca="1" si="7"/>
        <v/>
      </c>
      <c r="Y24" s="119" t="e">
        <f t="shared" ca="1" si="8"/>
        <v>#N/A</v>
      </c>
      <c r="Z24" s="119" t="str">
        <f t="shared" ca="1" si="9"/>
        <v/>
      </c>
      <c r="AE24" s="119"/>
      <c r="AH24" s="109"/>
      <c r="AK24" s="88"/>
      <c r="AL24" s="4"/>
      <c r="AN24" s="2"/>
    </row>
    <row r="25" spans="1:41" ht="19.7" customHeight="1" x14ac:dyDescent="0.25">
      <c r="A25" s="102"/>
      <c r="B25" s="117" t="s">
        <v>10</v>
      </c>
      <c r="C25" s="103"/>
      <c r="D25" s="104" t="str">
        <f ca="1">IF(U25="","",IF(U25&gt;0,INDIRECT(ADDRESS(ROUND(ROW()/14,0)+1,26)),0))</f>
        <v/>
      </c>
      <c r="E25" s="286" t="str">
        <f ca="1">"Mannschaft "&amp;MIN(Z25:AB25)&amp;" und "&amp;MAX(Z25:AB25)&amp;" haben das gleiche Ergebnis !  Es ent-scheidet nun die größere Zahl von Kränzen und Neunen."</f>
        <v>Mannschaft 0 und 0 haben das gleiche Ergebnis !  Es ent-scheidet nun die größere Zahl von Kränzen und Neunen.</v>
      </c>
      <c r="F25" s="286"/>
      <c r="G25" s="286"/>
      <c r="H25" s="286"/>
      <c r="I25" s="286"/>
      <c r="J25" s="286"/>
      <c r="K25" s="286"/>
      <c r="L25" s="286"/>
      <c r="M25" s="286"/>
      <c r="N25" s="286"/>
      <c r="O25" s="286"/>
      <c r="P25" s="286"/>
      <c r="Q25" s="105"/>
      <c r="R25" s="217" t="str">
        <f>IF(SUM(R19:R24)&gt;0,SUM(R19:R24),"")</f>
        <v/>
      </c>
      <c r="S25" s="218" t="str">
        <f>IF(SUM(S19:S24)&gt;0,SUM(S19:S24),"")</f>
        <v/>
      </c>
      <c r="T25" s="218" t="str">
        <f>IF(SUM(T19:T24)&gt;0,SUM(T19:T24),"")</f>
        <v/>
      </c>
      <c r="U25" s="219" t="str">
        <f>IF(SUM(U19:U24)&gt;0,ROUND(SUM(U19:U24),0),"")</f>
        <v/>
      </c>
      <c r="V25" s="220" t="str">
        <f ca="1">IF(COUNT(V19:V24)&gt;0,SUM(V19:V24),"")</f>
        <v/>
      </c>
      <c r="W25" s="232"/>
      <c r="X25" s="181" t="str">
        <f>ADDRESS(ROUND(ROW()/14,0)+1,COLUMN()+1)</f>
        <v>$Y$3</v>
      </c>
      <c r="Y25" s="1"/>
      <c r="AA25" s="119">
        <f ca="1">INDIRECT(ADDRESS(ROUND(ROW()/14,0)+1,COLUMN()-2))</f>
        <v>0</v>
      </c>
      <c r="AB25" s="119">
        <f ca="1">MAX(AA$38,AA$51,AA$64)</f>
        <v>0</v>
      </c>
      <c r="AE25" s="119"/>
      <c r="AH25" s="109"/>
      <c r="AJ25" s="4"/>
    </row>
    <row r="26" spans="1:41" ht="9" customHeight="1" thickBot="1" x14ac:dyDescent="0.25">
      <c r="A26" s="60"/>
      <c r="B26" s="118"/>
      <c r="C26" s="61"/>
      <c r="D26" s="61"/>
      <c r="E26" s="287"/>
      <c r="F26" s="287"/>
      <c r="G26" s="287"/>
      <c r="H26" s="287"/>
      <c r="I26" s="287"/>
      <c r="J26" s="287"/>
      <c r="K26" s="287"/>
      <c r="L26" s="287"/>
      <c r="M26" s="287"/>
      <c r="N26" s="287"/>
      <c r="O26" s="287"/>
      <c r="P26" s="287"/>
      <c r="Q26" s="62"/>
      <c r="R26" s="62"/>
      <c r="S26" s="62"/>
      <c r="T26" s="62"/>
      <c r="U26" s="62"/>
      <c r="V26" s="63"/>
      <c r="W26" s="232"/>
      <c r="AD26" s="122"/>
      <c r="AE26" s="119"/>
      <c r="AG26" s="88"/>
      <c r="AH26" s="4"/>
      <c r="AJ26" s="4"/>
      <c r="AM26" s="110"/>
    </row>
    <row r="27" spans="1:41" ht="6" customHeight="1" x14ac:dyDescent="0.2">
      <c r="A27" s="48"/>
      <c r="B27" s="111"/>
      <c r="C27" s="66"/>
      <c r="D27" s="66"/>
      <c r="E27" s="66"/>
      <c r="F27" s="66"/>
      <c r="G27" s="66"/>
      <c r="H27" s="66"/>
      <c r="I27" s="66"/>
      <c r="J27" s="66"/>
      <c r="K27" s="270" t="str">
        <f ca="1">IF(ISERROR($X$15),"","Achtung !!!   Mindestens "&amp;$AB$15&amp;" Spieler haben "&amp;ROUND($X$15,0)&amp;" Holz:  -")</f>
        <v/>
      </c>
      <c r="L27" s="270"/>
      <c r="M27" s="270"/>
      <c r="N27" s="270"/>
      <c r="O27" s="270"/>
      <c r="P27" s="270"/>
      <c r="Q27" s="270"/>
      <c r="R27" s="270"/>
      <c r="S27" s="270"/>
      <c r="T27" s="270"/>
      <c r="U27" s="270"/>
      <c r="V27" s="271"/>
      <c r="W27" s="230"/>
      <c r="AE27" s="119"/>
      <c r="AG27" s="88"/>
      <c r="AH27" s="4"/>
      <c r="AK27" s="88"/>
      <c r="AL27" s="4"/>
      <c r="AN27" s="2"/>
    </row>
    <row r="28" spans="1:41" ht="15.95" customHeight="1" x14ac:dyDescent="0.25">
      <c r="A28" s="55" t="s">
        <v>34</v>
      </c>
      <c r="B28" s="269"/>
      <c r="C28" s="269"/>
      <c r="D28" s="269"/>
      <c r="E28" s="269"/>
      <c r="F28" s="269"/>
      <c r="G28" s="269"/>
      <c r="H28" s="269"/>
      <c r="I28" s="212"/>
      <c r="J28" s="154"/>
      <c r="K28" s="272" t="str">
        <f ca="1">IF(ISERROR($X$15),"",INDIRECT(ADDRESS($Y$15,2))&amp;IF($AB$15&gt;2,", "&amp;INDIRECT(ADDRESS($AA$15,2)),"")&amp;" und "&amp;INDIRECT(ADDRESS($Z$15,2))&amp;" ---- NEUNER und KRÄNZE ermitteln und in der Spalte N/K eintragen.")</f>
        <v/>
      </c>
      <c r="L28" s="272"/>
      <c r="M28" s="272"/>
      <c r="N28" s="272"/>
      <c r="O28" s="272"/>
      <c r="P28" s="272"/>
      <c r="Q28" s="272"/>
      <c r="R28" s="272"/>
      <c r="S28" s="272"/>
      <c r="T28" s="272"/>
      <c r="U28" s="272"/>
      <c r="V28" s="273"/>
      <c r="W28" s="234"/>
      <c r="AA28" s="122"/>
      <c r="AH28" s="109"/>
    </row>
    <row r="29" spans="1:41" ht="4.5" customHeight="1" x14ac:dyDescent="0.2">
      <c r="A29" s="57"/>
      <c r="B29" s="40"/>
      <c r="C29" s="40"/>
      <c r="D29" s="40"/>
      <c r="E29" s="40"/>
      <c r="F29" s="40"/>
      <c r="G29" s="40"/>
      <c r="H29" s="40"/>
      <c r="I29" s="40"/>
      <c r="J29" s="40"/>
      <c r="K29" s="274"/>
      <c r="L29" s="274"/>
      <c r="M29" s="274"/>
      <c r="N29" s="274"/>
      <c r="O29" s="274"/>
      <c r="P29" s="274"/>
      <c r="Q29" s="274"/>
      <c r="R29" s="274"/>
      <c r="S29" s="274"/>
      <c r="T29" s="274"/>
      <c r="U29" s="274"/>
      <c r="V29" s="275"/>
      <c r="W29" s="230"/>
      <c r="AA29" s="122"/>
      <c r="AH29" s="4"/>
    </row>
    <row r="30" spans="1:41" ht="9.75" customHeight="1" x14ac:dyDescent="0.2">
      <c r="A30" s="128"/>
      <c r="B30" s="115"/>
      <c r="C30" s="89"/>
      <c r="D30" s="89"/>
      <c r="E30" s="256" t="str">
        <f>"Bahn " &amp; $P$10</f>
        <v>Bahn 1</v>
      </c>
      <c r="F30" s="257"/>
      <c r="G30" s="258"/>
      <c r="H30" s="256" t="str">
        <f>"Bahn " &amp; RIGHT(E30,2)+1</f>
        <v>Bahn 2</v>
      </c>
      <c r="I30" s="257"/>
      <c r="J30" s="258"/>
      <c r="K30" s="256" t="str">
        <f>"Bahn " &amp; RIGHT(H30,2)+1</f>
        <v>Bahn 3</v>
      </c>
      <c r="L30" s="257"/>
      <c r="M30" s="258"/>
      <c r="N30" s="256" t="str">
        <f>"Bahn " &amp; RIGHT(K30,2)+1</f>
        <v>Bahn 4</v>
      </c>
      <c r="O30" s="257"/>
      <c r="P30" s="258"/>
      <c r="Q30" s="95"/>
      <c r="R30" s="259" t="s">
        <v>55</v>
      </c>
      <c r="S30" s="260"/>
      <c r="T30" s="261"/>
      <c r="U30" s="262"/>
      <c r="V30" s="99"/>
      <c r="W30" s="230"/>
      <c r="AA30" s="122"/>
      <c r="AH30" s="4"/>
    </row>
    <row r="31" spans="1:41" ht="9.75" customHeight="1" x14ac:dyDescent="0.2">
      <c r="A31" s="129" t="s">
        <v>14</v>
      </c>
      <c r="B31" s="116" t="s">
        <v>13</v>
      </c>
      <c r="C31" s="91"/>
      <c r="D31" s="106"/>
      <c r="E31" s="129" t="s">
        <v>53</v>
      </c>
      <c r="F31" s="92" t="s">
        <v>54</v>
      </c>
      <c r="G31" s="100" t="s">
        <v>55</v>
      </c>
      <c r="H31" s="129" t="s">
        <v>53</v>
      </c>
      <c r="I31" s="92" t="s">
        <v>54</v>
      </c>
      <c r="J31" s="100" t="s">
        <v>55</v>
      </c>
      <c r="K31" s="129" t="s">
        <v>53</v>
      </c>
      <c r="L31" s="92" t="s">
        <v>54</v>
      </c>
      <c r="M31" s="100" t="s">
        <v>55</v>
      </c>
      <c r="N31" s="129" t="s">
        <v>53</v>
      </c>
      <c r="O31" s="92" t="s">
        <v>54</v>
      </c>
      <c r="P31" s="100" t="s">
        <v>55</v>
      </c>
      <c r="Q31" s="94"/>
      <c r="R31" s="90" t="s">
        <v>53</v>
      </c>
      <c r="S31" s="93" t="s">
        <v>54</v>
      </c>
      <c r="T31" s="93" t="s">
        <v>82</v>
      </c>
      <c r="U31" s="92" t="s">
        <v>57</v>
      </c>
      <c r="V31" s="100" t="s">
        <v>50</v>
      </c>
      <c r="W31" s="230"/>
      <c r="AA31" s="122"/>
      <c r="AH31" s="4"/>
    </row>
    <row r="32" spans="1:41" ht="19.7" customHeight="1" x14ac:dyDescent="0.2">
      <c r="A32" s="101"/>
      <c r="B32" s="263"/>
      <c r="C32" s="264"/>
      <c r="D32" s="264"/>
      <c r="E32" s="101"/>
      <c r="F32" s="213" t="str">
        <f t="shared" ref="F32:F37" si="10">IF(ISBLANK(G32),"",G32-E32)</f>
        <v/>
      </c>
      <c r="G32" s="223"/>
      <c r="H32" s="101"/>
      <c r="I32" s="213" t="str">
        <f t="shared" ref="I32:I37" si="11">IF(ISBLANK(J32),"",J32-H32)</f>
        <v/>
      </c>
      <c r="J32" s="223"/>
      <c r="K32" s="101"/>
      <c r="L32" s="213" t="str">
        <f t="shared" ref="L32:L37" si="12">IF(ISBLANK(M32),"",M32-K32)</f>
        <v/>
      </c>
      <c r="M32" s="223"/>
      <c r="N32" s="101"/>
      <c r="O32" s="213" t="str">
        <f t="shared" ref="O32:O37" si="13">IF(ISBLANK(P32),"",P32-N32)</f>
        <v/>
      </c>
      <c r="P32" s="223"/>
      <c r="Q32" s="157"/>
      <c r="R32" s="158" t="str">
        <f t="shared" ref="R32:S37" si="14">IF(SUM(E32,H32,K32,N32)&gt;0,SUM(E32,H32,K32,N32),"")</f>
        <v/>
      </c>
      <c r="S32" s="175" t="str">
        <f t="shared" si="14"/>
        <v/>
      </c>
      <c r="T32" s="205"/>
      <c r="U32" s="179" t="str">
        <f t="shared" ref="U32:U37" si="15">IF(AND(R32&lt;&gt;"",S32&lt;&gt;""),SUM(G32,J32,M32,P32)+(S32/10000)+IF(ISNUMBER(T32),(T32/10000000),0),"")</f>
        <v/>
      </c>
      <c r="V32" s="180" t="str">
        <f t="shared" ref="V32:V37" ca="1" si="16">IF(U32&gt;0,INDIRECT(ADDRESS(ROW(),26)),"")</f>
        <v/>
      </c>
      <c r="W32" s="234" t="s">
        <v>90</v>
      </c>
      <c r="X32" s="181" t="str">
        <f t="shared" ref="X32:X37" ca="1" si="17">INDIRECT(ADDRESS(ROW(),COLUMN()-3))</f>
        <v/>
      </c>
      <c r="Y32" s="119" t="e">
        <f t="shared" ref="Y32:Y37" ca="1" si="18">IF(X32=$X$15,ROW(),"")</f>
        <v>#N/A</v>
      </c>
      <c r="Z32" s="119" t="str">
        <f t="shared" ref="Z32:Z37" ca="1" si="19">IF(ISNUMBER(X32),25-RANK(X32,$X$19:$X$63,0),"")</f>
        <v/>
      </c>
      <c r="AE32" s="119"/>
      <c r="AH32" s="4"/>
      <c r="AJ32" s="119"/>
    </row>
    <row r="33" spans="1:37" ht="19.7" customHeight="1" x14ac:dyDescent="0.2">
      <c r="A33" s="101"/>
      <c r="B33" s="254"/>
      <c r="C33" s="255"/>
      <c r="D33" s="285"/>
      <c r="E33" s="101"/>
      <c r="F33" s="213" t="str">
        <f t="shared" si="10"/>
        <v/>
      </c>
      <c r="G33" s="223"/>
      <c r="H33" s="101"/>
      <c r="I33" s="213" t="str">
        <f t="shared" si="11"/>
        <v/>
      </c>
      <c r="J33" s="223"/>
      <c r="K33" s="101"/>
      <c r="L33" s="213" t="str">
        <f t="shared" si="12"/>
        <v/>
      </c>
      <c r="M33" s="223"/>
      <c r="N33" s="101"/>
      <c r="O33" s="213" t="str">
        <f t="shared" si="13"/>
        <v/>
      </c>
      <c r="P33" s="223"/>
      <c r="Q33" s="157"/>
      <c r="R33" s="158" t="str">
        <f t="shared" si="14"/>
        <v/>
      </c>
      <c r="S33" s="175" t="str">
        <f t="shared" si="14"/>
        <v/>
      </c>
      <c r="T33" s="205"/>
      <c r="U33" s="179" t="str">
        <f t="shared" si="15"/>
        <v/>
      </c>
      <c r="V33" s="180" t="str">
        <f t="shared" ca="1" si="16"/>
        <v/>
      </c>
      <c r="W33" s="230"/>
      <c r="X33" s="181" t="str">
        <f t="shared" ca="1" si="17"/>
        <v/>
      </c>
      <c r="Y33" s="119" t="e">
        <f t="shared" ca="1" si="18"/>
        <v>#N/A</v>
      </c>
      <c r="Z33" s="119" t="str">
        <f t="shared" ca="1" si="19"/>
        <v/>
      </c>
      <c r="AE33" s="119"/>
      <c r="AH33" s="4"/>
      <c r="AJ33" s="119"/>
    </row>
    <row r="34" spans="1:37" ht="19.7" customHeight="1" x14ac:dyDescent="0.2">
      <c r="A34" s="101"/>
      <c r="B34" s="254"/>
      <c r="C34" s="255"/>
      <c r="D34" s="285"/>
      <c r="E34" s="101"/>
      <c r="F34" s="213" t="str">
        <f t="shared" si="10"/>
        <v/>
      </c>
      <c r="G34" s="223"/>
      <c r="H34" s="101"/>
      <c r="I34" s="213" t="str">
        <f t="shared" si="11"/>
        <v/>
      </c>
      <c r="J34" s="223"/>
      <c r="K34" s="101"/>
      <c r="L34" s="213" t="str">
        <f t="shared" si="12"/>
        <v/>
      </c>
      <c r="M34" s="223"/>
      <c r="N34" s="101"/>
      <c r="O34" s="213" t="str">
        <f t="shared" si="13"/>
        <v/>
      </c>
      <c r="P34" s="223"/>
      <c r="Q34" s="157"/>
      <c r="R34" s="158" t="str">
        <f t="shared" si="14"/>
        <v/>
      </c>
      <c r="S34" s="175" t="str">
        <f t="shared" si="14"/>
        <v/>
      </c>
      <c r="T34" s="205"/>
      <c r="U34" s="179" t="str">
        <f t="shared" si="15"/>
        <v/>
      </c>
      <c r="V34" s="180" t="str">
        <f t="shared" ca="1" si="16"/>
        <v/>
      </c>
      <c r="W34" s="230"/>
      <c r="X34" s="181" t="str">
        <f t="shared" ca="1" si="17"/>
        <v/>
      </c>
      <c r="Y34" s="119" t="e">
        <f t="shared" ca="1" si="18"/>
        <v>#N/A</v>
      </c>
      <c r="Z34" s="119" t="str">
        <f t="shared" ca="1" si="19"/>
        <v/>
      </c>
      <c r="AA34" s="122"/>
      <c r="AE34" s="119"/>
      <c r="AH34" s="4"/>
      <c r="AJ34" s="119"/>
    </row>
    <row r="35" spans="1:37" ht="19.7" customHeight="1" x14ac:dyDescent="0.2">
      <c r="A35" s="101"/>
      <c r="B35" s="254"/>
      <c r="C35" s="255"/>
      <c r="D35" s="285"/>
      <c r="E35" s="101"/>
      <c r="F35" s="213" t="str">
        <f t="shared" si="10"/>
        <v/>
      </c>
      <c r="G35" s="223"/>
      <c r="H35" s="101"/>
      <c r="I35" s="213" t="str">
        <f t="shared" si="11"/>
        <v/>
      </c>
      <c r="J35" s="223"/>
      <c r="K35" s="101"/>
      <c r="L35" s="213" t="str">
        <f t="shared" si="12"/>
        <v/>
      </c>
      <c r="M35" s="223"/>
      <c r="N35" s="101"/>
      <c r="O35" s="213" t="str">
        <f t="shared" si="13"/>
        <v/>
      </c>
      <c r="P35" s="223"/>
      <c r="Q35" s="157"/>
      <c r="R35" s="158" t="str">
        <f t="shared" si="14"/>
        <v/>
      </c>
      <c r="S35" s="175" t="str">
        <f t="shared" si="14"/>
        <v/>
      </c>
      <c r="T35" s="205"/>
      <c r="U35" s="179" t="str">
        <f t="shared" si="15"/>
        <v/>
      </c>
      <c r="V35" s="180" t="str">
        <f t="shared" ca="1" si="16"/>
        <v/>
      </c>
      <c r="W35" s="232"/>
      <c r="X35" s="181" t="str">
        <f t="shared" ca="1" si="17"/>
        <v/>
      </c>
      <c r="Y35" s="119" t="e">
        <f t="shared" ca="1" si="18"/>
        <v>#N/A</v>
      </c>
      <c r="Z35" s="119" t="str">
        <f t="shared" ca="1" si="19"/>
        <v/>
      </c>
      <c r="AA35" s="122"/>
      <c r="AE35" s="119"/>
      <c r="AH35" s="4"/>
      <c r="AJ35" s="119"/>
    </row>
    <row r="36" spans="1:37" ht="19.7" customHeight="1" x14ac:dyDescent="0.2">
      <c r="A36" s="101"/>
      <c r="B36" s="254"/>
      <c r="C36" s="255"/>
      <c r="D36" s="285"/>
      <c r="E36" s="101"/>
      <c r="F36" s="213" t="str">
        <f t="shared" si="10"/>
        <v/>
      </c>
      <c r="G36" s="223"/>
      <c r="H36" s="101"/>
      <c r="I36" s="213" t="str">
        <f t="shared" si="11"/>
        <v/>
      </c>
      <c r="J36" s="223"/>
      <c r="K36" s="101"/>
      <c r="L36" s="213" t="str">
        <f t="shared" si="12"/>
        <v/>
      </c>
      <c r="M36" s="223"/>
      <c r="N36" s="101"/>
      <c r="O36" s="213" t="str">
        <f t="shared" si="13"/>
        <v/>
      </c>
      <c r="P36" s="223"/>
      <c r="Q36" s="157"/>
      <c r="R36" s="158" t="str">
        <f t="shared" si="14"/>
        <v/>
      </c>
      <c r="S36" s="175" t="str">
        <f t="shared" si="14"/>
        <v/>
      </c>
      <c r="T36" s="205"/>
      <c r="U36" s="179" t="str">
        <f t="shared" si="15"/>
        <v/>
      </c>
      <c r="V36" s="180" t="str">
        <f t="shared" ca="1" si="16"/>
        <v/>
      </c>
      <c r="W36" s="230"/>
      <c r="X36" s="181" t="str">
        <f t="shared" ca="1" si="17"/>
        <v/>
      </c>
      <c r="Y36" s="119" t="e">
        <f t="shared" ca="1" si="18"/>
        <v>#N/A</v>
      </c>
      <c r="Z36" s="119" t="str">
        <f t="shared" ca="1" si="19"/>
        <v/>
      </c>
      <c r="AA36" s="122"/>
      <c r="AE36" s="119"/>
      <c r="AH36" s="4"/>
      <c r="AJ36" s="119"/>
    </row>
    <row r="37" spans="1:37" ht="19.7" customHeight="1" x14ac:dyDescent="0.2">
      <c r="A37" s="101"/>
      <c r="B37" s="282"/>
      <c r="C37" s="283"/>
      <c r="D37" s="284"/>
      <c r="E37" s="224"/>
      <c r="F37" s="225" t="str">
        <f t="shared" si="10"/>
        <v/>
      </c>
      <c r="G37" s="226"/>
      <c r="H37" s="224"/>
      <c r="I37" s="225" t="str">
        <f t="shared" si="11"/>
        <v/>
      </c>
      <c r="J37" s="226"/>
      <c r="K37" s="224"/>
      <c r="L37" s="225" t="str">
        <f t="shared" si="12"/>
        <v/>
      </c>
      <c r="M37" s="226"/>
      <c r="N37" s="224"/>
      <c r="O37" s="225" t="str">
        <f t="shared" si="13"/>
        <v/>
      </c>
      <c r="P37" s="226"/>
      <c r="Q37" s="159"/>
      <c r="R37" s="158" t="str">
        <f t="shared" si="14"/>
        <v/>
      </c>
      <c r="S37" s="215" t="str">
        <f t="shared" si="14"/>
        <v/>
      </c>
      <c r="T37" s="205"/>
      <c r="U37" s="179" t="str">
        <f t="shared" si="15"/>
        <v/>
      </c>
      <c r="V37" s="216" t="str">
        <f t="shared" ca="1" si="16"/>
        <v/>
      </c>
      <c r="W37" s="232"/>
      <c r="X37" s="181" t="str">
        <f t="shared" ca="1" si="17"/>
        <v/>
      </c>
      <c r="Y37" s="119" t="e">
        <f t="shared" ca="1" si="18"/>
        <v>#N/A</v>
      </c>
      <c r="Z37" s="119" t="str">
        <f t="shared" ca="1" si="19"/>
        <v/>
      </c>
      <c r="AA37" s="122"/>
      <c r="AE37" s="119"/>
      <c r="AH37" s="4"/>
      <c r="AJ37" s="119"/>
    </row>
    <row r="38" spans="1:37" ht="19.7" customHeight="1" x14ac:dyDescent="0.25">
      <c r="A38" s="102"/>
      <c r="B38" s="117" t="s">
        <v>10</v>
      </c>
      <c r="C38" s="103"/>
      <c r="D38" s="104" t="str">
        <f ca="1">IF(U38="","",IF(U38&gt;0,INDIRECT(ADDRESS(ROUND(ROW()/14,0)+1,26)),0))</f>
        <v/>
      </c>
      <c r="E38" s="286" t="str">
        <f ca="1">"Mannschaft "&amp;MIN(Z38:AB38)&amp;" und "&amp;MAX(Z38:AB38)&amp;" haben das gleiche Ergebnis !  Es ent-scheidet nun die größere Zahl von Kränzen und Neunen."</f>
        <v>Mannschaft 0 und 0 haben das gleiche Ergebnis !  Es ent-scheidet nun die größere Zahl von Kränzen und Neunen.</v>
      </c>
      <c r="F38" s="286"/>
      <c r="G38" s="286"/>
      <c r="H38" s="286"/>
      <c r="I38" s="286"/>
      <c r="J38" s="286"/>
      <c r="K38" s="286"/>
      <c r="L38" s="286"/>
      <c r="M38" s="286"/>
      <c r="N38" s="286"/>
      <c r="O38" s="286"/>
      <c r="P38" s="286"/>
      <c r="Q38" s="105"/>
      <c r="R38" s="217" t="str">
        <f>IF(SUM(R32:R37)&gt;0,SUM(R32:R37),"")</f>
        <v/>
      </c>
      <c r="S38" s="218" t="str">
        <f>IF(SUM(S32:S37)&gt;0,SUM(S32:S37),"")</f>
        <v/>
      </c>
      <c r="T38" s="218" t="str">
        <f>IF(SUM(T32:T37)&gt;0,SUM(T32:T37),"")</f>
        <v/>
      </c>
      <c r="U38" s="219" t="str">
        <f>IF(SUM(U32:U37)&gt;0,ROUND(SUM(U32:U37),0),"")</f>
        <v/>
      </c>
      <c r="V38" s="220" t="str">
        <f ca="1">IF(COUNT(V32:V37)&gt;0,SUM(V32:V37),"")</f>
        <v/>
      </c>
      <c r="W38" s="232"/>
      <c r="X38" s="181" t="str">
        <f>ADDRESS(ROUND(ROW()/14,0)+1,COLUMN()-2)</f>
        <v>$V$4</v>
      </c>
      <c r="AA38" s="119">
        <f ca="1">INDIRECT(ADDRESS(ROUND(ROW()/14,0)+1,COLUMN()-2))</f>
        <v>0</v>
      </c>
      <c r="AB38" s="119">
        <f ca="1">MAX(AA$25,AA$51,AA$64)</f>
        <v>0</v>
      </c>
      <c r="AE38" s="123"/>
      <c r="AH38" s="4"/>
    </row>
    <row r="39" spans="1:37" ht="9" customHeight="1" thickBot="1" x14ac:dyDescent="0.25">
      <c r="A39" s="60"/>
      <c r="B39" s="118"/>
      <c r="C39" s="61"/>
      <c r="D39" s="61"/>
      <c r="E39" s="287"/>
      <c r="F39" s="287"/>
      <c r="G39" s="287"/>
      <c r="H39" s="287"/>
      <c r="I39" s="287"/>
      <c r="J39" s="287"/>
      <c r="K39" s="287"/>
      <c r="L39" s="287"/>
      <c r="M39" s="287"/>
      <c r="N39" s="287"/>
      <c r="O39" s="287"/>
      <c r="P39" s="287"/>
      <c r="Q39" s="62"/>
      <c r="R39" s="62"/>
      <c r="S39" s="62"/>
      <c r="T39" s="62"/>
      <c r="U39" s="62"/>
      <c r="V39" s="63"/>
      <c r="W39" s="230"/>
      <c r="AA39" s="122"/>
      <c r="AH39" s="4"/>
    </row>
    <row r="40" spans="1:37" ht="6" customHeight="1" x14ac:dyDescent="0.2">
      <c r="A40" s="48"/>
      <c r="B40" s="111"/>
      <c r="C40" s="66"/>
      <c r="D40" s="66"/>
      <c r="E40" s="66"/>
      <c r="F40" s="66"/>
      <c r="G40" s="66"/>
      <c r="H40" s="66"/>
      <c r="I40" s="66"/>
      <c r="J40" s="66"/>
      <c r="K40" s="270" t="str">
        <f ca="1">IF(ISERROR($X$15),"","Achtung !!!   Mindestens "&amp;$AB$15&amp;" Spieler haben "&amp;ROUND($X$15,0)&amp;" Holz:  -")</f>
        <v/>
      </c>
      <c r="L40" s="270"/>
      <c r="M40" s="270"/>
      <c r="N40" s="270"/>
      <c r="O40" s="270"/>
      <c r="P40" s="270"/>
      <c r="Q40" s="270"/>
      <c r="R40" s="270"/>
      <c r="S40" s="270"/>
      <c r="T40" s="270"/>
      <c r="U40" s="270"/>
      <c r="V40" s="271"/>
      <c r="W40" s="230"/>
      <c r="AA40" s="122"/>
      <c r="AH40" s="4"/>
    </row>
    <row r="41" spans="1:37" ht="15.95" customHeight="1" x14ac:dyDescent="0.25">
      <c r="A41" s="55" t="s">
        <v>34</v>
      </c>
      <c r="B41" s="269"/>
      <c r="C41" s="269"/>
      <c r="D41" s="269"/>
      <c r="E41" s="269"/>
      <c r="F41" s="269"/>
      <c r="G41" s="269"/>
      <c r="H41" s="269"/>
      <c r="I41" s="212"/>
      <c r="J41" s="154"/>
      <c r="K41" s="272" t="str">
        <f ca="1">IF(ISERROR($X$15),"",INDIRECT(ADDRESS($Y$15,2))&amp;IF($AB$15&gt;2,", "&amp;INDIRECT(ADDRESS($AA$15,2)),"")&amp;" und "&amp;INDIRECT(ADDRESS($Z$15,2))&amp;" ---- NEUNER und KRÄNZE ermitteln und in der Spalte N/K eintragen.")</f>
        <v/>
      </c>
      <c r="L41" s="272"/>
      <c r="M41" s="272"/>
      <c r="N41" s="272"/>
      <c r="O41" s="272"/>
      <c r="P41" s="272"/>
      <c r="Q41" s="272"/>
      <c r="R41" s="272"/>
      <c r="S41" s="272"/>
      <c r="T41" s="272"/>
      <c r="U41" s="272"/>
      <c r="V41" s="273"/>
      <c r="W41" s="234"/>
      <c r="AA41" s="122"/>
    </row>
    <row r="42" spans="1:37" ht="4.5" customHeight="1" x14ac:dyDescent="0.2">
      <c r="A42" s="57"/>
      <c r="B42" s="40"/>
      <c r="C42" s="40"/>
      <c r="D42" s="40"/>
      <c r="E42" s="40"/>
      <c r="F42" s="40"/>
      <c r="G42" s="40"/>
      <c r="H42" s="40"/>
      <c r="I42" s="40"/>
      <c r="J42" s="40"/>
      <c r="K42" s="274"/>
      <c r="L42" s="274"/>
      <c r="M42" s="274"/>
      <c r="N42" s="274"/>
      <c r="O42" s="274"/>
      <c r="P42" s="274"/>
      <c r="Q42" s="274"/>
      <c r="R42" s="274"/>
      <c r="S42" s="274"/>
      <c r="T42" s="274"/>
      <c r="U42" s="274"/>
      <c r="V42" s="275"/>
      <c r="W42" s="230"/>
      <c r="AA42" s="122"/>
      <c r="AK42" s="110"/>
    </row>
    <row r="43" spans="1:37" ht="9.75" customHeight="1" x14ac:dyDescent="0.2">
      <c r="A43" s="128"/>
      <c r="B43" s="115"/>
      <c r="C43" s="89"/>
      <c r="D43" s="89"/>
      <c r="E43" s="256" t="str">
        <f>"Bahn " &amp; $P$10</f>
        <v>Bahn 1</v>
      </c>
      <c r="F43" s="257"/>
      <c r="G43" s="258"/>
      <c r="H43" s="256" t="str">
        <f>"Bahn " &amp; RIGHT(E43,2)+1</f>
        <v>Bahn 2</v>
      </c>
      <c r="I43" s="257"/>
      <c r="J43" s="258"/>
      <c r="K43" s="256" t="str">
        <f>"Bahn " &amp; RIGHT(H43,2)+1</f>
        <v>Bahn 3</v>
      </c>
      <c r="L43" s="257"/>
      <c r="M43" s="258"/>
      <c r="N43" s="256" t="str">
        <f>"Bahn " &amp; RIGHT(K43,2)+1</f>
        <v>Bahn 4</v>
      </c>
      <c r="O43" s="257"/>
      <c r="P43" s="258"/>
      <c r="Q43" s="95"/>
      <c r="R43" s="259" t="s">
        <v>55</v>
      </c>
      <c r="S43" s="260"/>
      <c r="T43" s="261"/>
      <c r="U43" s="262"/>
      <c r="V43" s="99"/>
      <c r="W43" s="230"/>
      <c r="AA43" s="122"/>
    </row>
    <row r="44" spans="1:37" ht="9.75" customHeight="1" x14ac:dyDescent="0.2">
      <c r="A44" s="129" t="s">
        <v>14</v>
      </c>
      <c r="B44" s="116" t="s">
        <v>13</v>
      </c>
      <c r="C44" s="91"/>
      <c r="D44" s="106"/>
      <c r="E44" s="129" t="s">
        <v>53</v>
      </c>
      <c r="F44" s="92" t="s">
        <v>54</v>
      </c>
      <c r="G44" s="100" t="s">
        <v>55</v>
      </c>
      <c r="H44" s="129" t="s">
        <v>53</v>
      </c>
      <c r="I44" s="92" t="s">
        <v>54</v>
      </c>
      <c r="J44" s="100" t="s">
        <v>55</v>
      </c>
      <c r="K44" s="129" t="s">
        <v>53</v>
      </c>
      <c r="L44" s="92" t="s">
        <v>54</v>
      </c>
      <c r="M44" s="100" t="s">
        <v>55</v>
      </c>
      <c r="N44" s="129" t="s">
        <v>53</v>
      </c>
      <c r="O44" s="92" t="s">
        <v>54</v>
      </c>
      <c r="P44" s="100" t="s">
        <v>55</v>
      </c>
      <c r="Q44" s="94"/>
      <c r="R44" s="90" t="s">
        <v>53</v>
      </c>
      <c r="S44" s="93" t="s">
        <v>54</v>
      </c>
      <c r="T44" s="93" t="s">
        <v>82</v>
      </c>
      <c r="U44" s="92" t="s">
        <v>57</v>
      </c>
      <c r="V44" s="100" t="s">
        <v>50</v>
      </c>
      <c r="W44" s="230"/>
      <c r="AA44" s="122"/>
    </row>
    <row r="45" spans="1:37" ht="19.7" customHeight="1" x14ac:dyDescent="0.2">
      <c r="A45" s="101"/>
      <c r="B45" s="263"/>
      <c r="C45" s="264"/>
      <c r="D45" s="264"/>
      <c r="E45" s="101"/>
      <c r="F45" s="213" t="str">
        <f t="shared" ref="F45:F50" si="20">IF(ISBLANK(G45),"",G45-E45)</f>
        <v/>
      </c>
      <c r="G45" s="223"/>
      <c r="H45" s="101"/>
      <c r="I45" s="213" t="str">
        <f t="shared" ref="I45:I50" si="21">IF(ISBLANK(J45),"",J45-H45)</f>
        <v/>
      </c>
      <c r="J45" s="223"/>
      <c r="K45" s="101"/>
      <c r="L45" s="213" t="str">
        <f t="shared" ref="L45:L50" si="22">IF(ISBLANK(M45),"",M45-K45)</f>
        <v/>
      </c>
      <c r="M45" s="223"/>
      <c r="N45" s="101"/>
      <c r="O45" s="213" t="str">
        <f t="shared" ref="O45:O50" si="23">IF(ISBLANK(P45),"",P45-N45)</f>
        <v/>
      </c>
      <c r="P45" s="223"/>
      <c r="Q45" s="157"/>
      <c r="R45" s="158" t="str">
        <f t="shared" ref="R45:S50" si="24">IF(SUM(E45,H45,K45,N45)&gt;0,SUM(E45,H45,K45,N45),"")</f>
        <v/>
      </c>
      <c r="S45" s="175" t="str">
        <f t="shared" si="24"/>
        <v/>
      </c>
      <c r="T45" s="205"/>
      <c r="U45" s="179" t="str">
        <f t="shared" ref="U45:U50" si="25">IF(AND(R45&lt;&gt;"",S45&lt;&gt;""),SUM(G45,J45,M45,P45)+(S45/10000)+IF(ISNUMBER(T45),(T45/10000000),0),"")</f>
        <v/>
      </c>
      <c r="V45" s="180" t="str">
        <f t="shared" ref="V45:V50" ca="1" si="26">IF(U45&gt;0,INDIRECT(ADDRESS(ROW(),26)),"")</f>
        <v/>
      </c>
      <c r="W45" s="234" t="s">
        <v>90</v>
      </c>
      <c r="X45" s="181" t="str">
        <f t="shared" ref="X45:X50" ca="1" si="27">INDIRECT(ADDRESS(ROW(),COLUMN()-3))</f>
        <v/>
      </c>
      <c r="Y45" s="119" t="e">
        <f t="shared" ref="Y45:Y50" ca="1" si="28">IF(X45=$X$15,ROW(),"")</f>
        <v>#N/A</v>
      </c>
      <c r="Z45" s="119" t="str">
        <f t="shared" ref="Z45:Z50" ca="1" si="29">IF(ISNUMBER(X45),25-RANK(X45,$X$19:$X$63,0),"")</f>
        <v/>
      </c>
      <c r="AA45" s="122"/>
      <c r="AE45" s="119"/>
      <c r="AJ45" s="119"/>
    </row>
    <row r="46" spans="1:37" ht="19.7" customHeight="1" x14ac:dyDescent="0.2">
      <c r="A46" s="101"/>
      <c r="B46" s="254"/>
      <c r="C46" s="255"/>
      <c r="D46" s="285"/>
      <c r="E46" s="101"/>
      <c r="F46" s="213" t="str">
        <f t="shared" si="20"/>
        <v/>
      </c>
      <c r="G46" s="223"/>
      <c r="H46" s="101"/>
      <c r="I46" s="213" t="str">
        <f t="shared" si="21"/>
        <v/>
      </c>
      <c r="J46" s="223"/>
      <c r="K46" s="101"/>
      <c r="L46" s="213" t="str">
        <f t="shared" si="22"/>
        <v/>
      </c>
      <c r="M46" s="223"/>
      <c r="N46" s="101"/>
      <c r="O46" s="213" t="str">
        <f t="shared" si="23"/>
        <v/>
      </c>
      <c r="P46" s="223"/>
      <c r="Q46" s="157"/>
      <c r="R46" s="158" t="str">
        <f t="shared" si="24"/>
        <v/>
      </c>
      <c r="S46" s="175" t="str">
        <f t="shared" si="24"/>
        <v/>
      </c>
      <c r="T46" s="205"/>
      <c r="U46" s="179" t="str">
        <f t="shared" si="25"/>
        <v/>
      </c>
      <c r="V46" s="180" t="str">
        <f t="shared" ca="1" si="26"/>
        <v/>
      </c>
      <c r="W46" s="230"/>
      <c r="X46" s="181" t="str">
        <f t="shared" ca="1" si="27"/>
        <v/>
      </c>
      <c r="Y46" s="119" t="e">
        <f t="shared" ca="1" si="28"/>
        <v>#N/A</v>
      </c>
      <c r="Z46" s="119" t="str">
        <f t="shared" ca="1" si="29"/>
        <v/>
      </c>
      <c r="AA46" s="122"/>
      <c r="AE46" s="119"/>
      <c r="AJ46" s="119"/>
    </row>
    <row r="47" spans="1:37" ht="19.7" customHeight="1" x14ac:dyDescent="0.2">
      <c r="A47" s="101"/>
      <c r="B47" s="254"/>
      <c r="C47" s="255"/>
      <c r="D47" s="285"/>
      <c r="E47" s="101"/>
      <c r="F47" s="213" t="str">
        <f t="shared" si="20"/>
        <v/>
      </c>
      <c r="G47" s="223"/>
      <c r="H47" s="101"/>
      <c r="I47" s="213" t="str">
        <f t="shared" si="21"/>
        <v/>
      </c>
      <c r="J47" s="223"/>
      <c r="K47" s="101"/>
      <c r="L47" s="213" t="str">
        <f t="shared" si="22"/>
        <v/>
      </c>
      <c r="M47" s="223"/>
      <c r="N47" s="101"/>
      <c r="O47" s="213" t="str">
        <f t="shared" si="23"/>
        <v/>
      </c>
      <c r="P47" s="223"/>
      <c r="Q47" s="157"/>
      <c r="R47" s="158" t="str">
        <f t="shared" si="24"/>
        <v/>
      </c>
      <c r="S47" s="175" t="str">
        <f t="shared" si="24"/>
        <v/>
      </c>
      <c r="T47" s="205"/>
      <c r="U47" s="179" t="str">
        <f t="shared" si="25"/>
        <v/>
      </c>
      <c r="V47" s="180" t="str">
        <f t="shared" ca="1" si="26"/>
        <v/>
      </c>
      <c r="W47" s="230"/>
      <c r="X47" s="181" t="str">
        <f t="shared" ca="1" si="27"/>
        <v/>
      </c>
      <c r="Y47" s="119" t="e">
        <f t="shared" ca="1" si="28"/>
        <v>#N/A</v>
      </c>
      <c r="Z47" s="119" t="str">
        <f t="shared" ca="1" si="29"/>
        <v/>
      </c>
      <c r="AA47" s="122"/>
      <c r="AE47" s="119"/>
      <c r="AJ47" s="119"/>
    </row>
    <row r="48" spans="1:37" ht="19.7" customHeight="1" x14ac:dyDescent="0.2">
      <c r="A48" s="101"/>
      <c r="B48" s="254"/>
      <c r="C48" s="255"/>
      <c r="D48" s="285"/>
      <c r="E48" s="101"/>
      <c r="F48" s="213" t="str">
        <f t="shared" si="20"/>
        <v/>
      </c>
      <c r="G48" s="223"/>
      <c r="H48" s="101"/>
      <c r="I48" s="213" t="str">
        <f t="shared" si="21"/>
        <v/>
      </c>
      <c r="J48" s="223"/>
      <c r="K48" s="101"/>
      <c r="L48" s="213" t="str">
        <f t="shared" si="22"/>
        <v/>
      </c>
      <c r="M48" s="223"/>
      <c r="N48" s="101"/>
      <c r="O48" s="213" t="str">
        <f t="shared" si="23"/>
        <v/>
      </c>
      <c r="P48" s="223"/>
      <c r="Q48" s="157"/>
      <c r="R48" s="158" t="str">
        <f t="shared" si="24"/>
        <v/>
      </c>
      <c r="S48" s="175" t="str">
        <f t="shared" si="24"/>
        <v/>
      </c>
      <c r="T48" s="205"/>
      <c r="U48" s="179" t="str">
        <f t="shared" si="25"/>
        <v/>
      </c>
      <c r="V48" s="180" t="str">
        <f t="shared" ca="1" si="26"/>
        <v/>
      </c>
      <c r="W48" s="230"/>
      <c r="X48" s="181" t="str">
        <f t="shared" ca="1" si="27"/>
        <v/>
      </c>
      <c r="Y48" s="119" t="e">
        <f t="shared" ca="1" si="28"/>
        <v>#N/A</v>
      </c>
      <c r="Z48" s="119" t="str">
        <f t="shared" ca="1" si="29"/>
        <v/>
      </c>
      <c r="AE48" s="119"/>
      <c r="AJ48" s="119"/>
    </row>
    <row r="49" spans="1:37" ht="19.7" customHeight="1" x14ac:dyDescent="0.2">
      <c r="A49" s="101"/>
      <c r="B49" s="254"/>
      <c r="C49" s="255"/>
      <c r="D49" s="285"/>
      <c r="E49" s="101"/>
      <c r="F49" s="213" t="str">
        <f t="shared" si="20"/>
        <v/>
      </c>
      <c r="G49" s="223"/>
      <c r="H49" s="101"/>
      <c r="I49" s="213" t="str">
        <f t="shared" si="21"/>
        <v/>
      </c>
      <c r="J49" s="223"/>
      <c r="K49" s="101"/>
      <c r="L49" s="213" t="str">
        <f t="shared" si="22"/>
        <v/>
      </c>
      <c r="M49" s="223"/>
      <c r="N49" s="101"/>
      <c r="O49" s="213" t="str">
        <f t="shared" si="23"/>
        <v/>
      </c>
      <c r="P49" s="223"/>
      <c r="Q49" s="157"/>
      <c r="R49" s="158" t="str">
        <f t="shared" si="24"/>
        <v/>
      </c>
      <c r="S49" s="175" t="str">
        <f t="shared" si="24"/>
        <v/>
      </c>
      <c r="T49" s="205"/>
      <c r="U49" s="179" t="str">
        <f t="shared" si="25"/>
        <v/>
      </c>
      <c r="V49" s="180" t="str">
        <f t="shared" ca="1" si="26"/>
        <v/>
      </c>
      <c r="W49" s="230"/>
      <c r="X49" s="181" t="str">
        <f t="shared" ca="1" si="27"/>
        <v/>
      </c>
      <c r="Y49" s="119" t="e">
        <f t="shared" ca="1" si="28"/>
        <v>#N/A</v>
      </c>
      <c r="Z49" s="119" t="str">
        <f t="shared" ca="1" si="29"/>
        <v/>
      </c>
      <c r="AE49" s="119"/>
      <c r="AJ49" s="119"/>
    </row>
    <row r="50" spans="1:37" ht="19.7" customHeight="1" x14ac:dyDescent="0.2">
      <c r="A50" s="101"/>
      <c r="B50" s="282"/>
      <c r="C50" s="283"/>
      <c r="D50" s="284"/>
      <c r="E50" s="224"/>
      <c r="F50" s="225" t="str">
        <f t="shared" si="20"/>
        <v/>
      </c>
      <c r="G50" s="226"/>
      <c r="H50" s="224"/>
      <c r="I50" s="225" t="str">
        <f t="shared" si="21"/>
        <v/>
      </c>
      <c r="J50" s="226"/>
      <c r="K50" s="224"/>
      <c r="L50" s="225" t="str">
        <f t="shared" si="22"/>
        <v/>
      </c>
      <c r="M50" s="226"/>
      <c r="N50" s="224"/>
      <c r="O50" s="225" t="str">
        <f t="shared" si="23"/>
        <v/>
      </c>
      <c r="P50" s="226"/>
      <c r="Q50" s="159"/>
      <c r="R50" s="158" t="str">
        <f t="shared" si="24"/>
        <v/>
      </c>
      <c r="S50" s="215" t="str">
        <f t="shared" si="24"/>
        <v/>
      </c>
      <c r="T50" s="205"/>
      <c r="U50" s="179" t="str">
        <f t="shared" si="25"/>
        <v/>
      </c>
      <c r="V50" s="216" t="str">
        <f t="shared" ca="1" si="26"/>
        <v/>
      </c>
      <c r="W50" s="232"/>
      <c r="X50" s="181" t="str">
        <f t="shared" ca="1" si="27"/>
        <v/>
      </c>
      <c r="Y50" s="119" t="e">
        <f t="shared" ca="1" si="28"/>
        <v>#N/A</v>
      </c>
      <c r="Z50" s="119" t="str">
        <f t="shared" ca="1" si="29"/>
        <v/>
      </c>
      <c r="AE50" s="119"/>
      <c r="AJ50" s="119"/>
    </row>
    <row r="51" spans="1:37" ht="19.7" customHeight="1" x14ac:dyDescent="0.25">
      <c r="A51" s="102"/>
      <c r="B51" s="117" t="s">
        <v>10</v>
      </c>
      <c r="C51" s="103"/>
      <c r="D51" s="104" t="str">
        <f ca="1">IF(U51="","",IF(U51&gt;0,INDIRECT(ADDRESS(ROUND(ROW()/14,0)+1,26)),0))</f>
        <v/>
      </c>
      <c r="E51" s="286" t="str">
        <f ca="1">"Mannschaft "&amp;MIN(Z51:AB51)&amp;" und "&amp;MAX(Z51:AB51)&amp;" haben das gleiche Ergebnis !  Es ent-scheidet nun die größere Zahl von Kränzen und Neunen."</f>
        <v>Mannschaft 0 und 0 haben das gleiche Ergebnis !  Es ent-scheidet nun die größere Zahl von Kränzen und Neunen.</v>
      </c>
      <c r="F51" s="286"/>
      <c r="G51" s="286"/>
      <c r="H51" s="286"/>
      <c r="I51" s="286"/>
      <c r="J51" s="286"/>
      <c r="K51" s="286"/>
      <c r="L51" s="286"/>
      <c r="M51" s="286"/>
      <c r="N51" s="286"/>
      <c r="O51" s="286"/>
      <c r="P51" s="286"/>
      <c r="Q51" s="105"/>
      <c r="R51" s="217" t="str">
        <f>IF(SUM(R45:R50)&gt;0,SUM(R45:R50),"")</f>
        <v/>
      </c>
      <c r="S51" s="218" t="str">
        <f>IF(SUM(S45:S50)&gt;0,SUM(S45:S50),"")</f>
        <v/>
      </c>
      <c r="T51" s="218" t="str">
        <f>IF(SUM(T45:T50)&gt;0,SUM(T45:T50),"")</f>
        <v/>
      </c>
      <c r="U51" s="219" t="str">
        <f>IF(SUM(U45:U50)&gt;0,ROUND(SUM(U45:U50),0),"")</f>
        <v/>
      </c>
      <c r="V51" s="220" t="str">
        <f ca="1">IF(COUNT(V45:V50)&gt;0,SUM(V45:V50),"")</f>
        <v/>
      </c>
      <c r="W51" s="232"/>
      <c r="AA51" s="119">
        <f ca="1">INDIRECT(ADDRESS(ROUND(ROW()/14,0)+1,COLUMN()-2))</f>
        <v>0</v>
      </c>
      <c r="AB51" s="119">
        <f ca="1">MAX(AA$25,AA$38,AA$64)</f>
        <v>0</v>
      </c>
    </row>
    <row r="52" spans="1:37" ht="9" customHeight="1" thickBot="1" x14ac:dyDescent="0.25">
      <c r="A52" s="60"/>
      <c r="B52" s="118"/>
      <c r="C52" s="61"/>
      <c r="D52" s="61"/>
      <c r="E52" s="287"/>
      <c r="F52" s="287"/>
      <c r="G52" s="287"/>
      <c r="H52" s="287"/>
      <c r="I52" s="287"/>
      <c r="J52" s="287"/>
      <c r="K52" s="287"/>
      <c r="L52" s="287"/>
      <c r="M52" s="287"/>
      <c r="N52" s="287"/>
      <c r="O52" s="287"/>
      <c r="P52" s="287"/>
      <c r="Q52" s="62"/>
      <c r="R52" s="62"/>
      <c r="S52" s="62"/>
      <c r="T52" s="62"/>
      <c r="U52" s="62"/>
      <c r="V52" s="63"/>
      <c r="W52" s="230"/>
    </row>
    <row r="53" spans="1:37" ht="6" customHeight="1" x14ac:dyDescent="0.2">
      <c r="A53" s="48"/>
      <c r="B53" s="111"/>
      <c r="C53" s="66"/>
      <c r="D53" s="66"/>
      <c r="E53" s="66"/>
      <c r="F53" s="66"/>
      <c r="G53" s="66"/>
      <c r="H53" s="66"/>
      <c r="I53" s="66"/>
      <c r="J53" s="66"/>
      <c r="K53" s="270" t="str">
        <f ca="1">IF(ISERROR($X$15),"","Achtung !!!   Mindestens "&amp;$AB$15&amp;" Spieler haben "&amp;ROUND($X$15,0)&amp;" Holz:  -")</f>
        <v/>
      </c>
      <c r="L53" s="270"/>
      <c r="M53" s="270"/>
      <c r="N53" s="270"/>
      <c r="O53" s="270"/>
      <c r="P53" s="270"/>
      <c r="Q53" s="270"/>
      <c r="R53" s="270"/>
      <c r="S53" s="270"/>
      <c r="T53" s="270"/>
      <c r="U53" s="270"/>
      <c r="V53" s="271"/>
      <c r="W53" s="230"/>
    </row>
    <row r="54" spans="1:37" ht="15.95" customHeight="1" x14ac:dyDescent="0.25">
      <c r="A54" s="55" t="s">
        <v>34</v>
      </c>
      <c r="B54" s="269"/>
      <c r="C54" s="269"/>
      <c r="D54" s="269"/>
      <c r="E54" s="269"/>
      <c r="F54" s="269"/>
      <c r="G54" s="269"/>
      <c r="H54" s="269"/>
      <c r="I54" s="212"/>
      <c r="J54" s="154"/>
      <c r="K54" s="272" t="str">
        <f ca="1">IF(ISERROR($X$15),"",INDIRECT(ADDRESS($Y$15,2))&amp;IF($AB$15&gt;2,", "&amp;INDIRECT(ADDRESS($AA$15,2)),"")&amp;" und "&amp;INDIRECT(ADDRESS($Z$15,2))&amp;" ---- NEUNER und KRÄNZE ermitteln und in der Spalte N/K eintragen.")</f>
        <v/>
      </c>
      <c r="L54" s="272"/>
      <c r="M54" s="272"/>
      <c r="N54" s="272"/>
      <c r="O54" s="272"/>
      <c r="P54" s="272"/>
      <c r="Q54" s="272"/>
      <c r="R54" s="272"/>
      <c r="S54" s="272"/>
      <c r="T54" s="272"/>
      <c r="U54" s="272"/>
      <c r="V54" s="273"/>
      <c r="W54" s="234"/>
    </row>
    <row r="55" spans="1:37" ht="4.5" customHeight="1" x14ac:dyDescent="0.2">
      <c r="A55" s="57"/>
      <c r="B55" s="40"/>
      <c r="C55" s="40"/>
      <c r="D55" s="40"/>
      <c r="E55" s="40"/>
      <c r="F55" s="40"/>
      <c r="G55" s="40"/>
      <c r="H55" s="40"/>
      <c r="I55" s="40"/>
      <c r="J55" s="40"/>
      <c r="K55" s="274"/>
      <c r="L55" s="274"/>
      <c r="M55" s="274"/>
      <c r="N55" s="274"/>
      <c r="O55" s="274"/>
      <c r="P55" s="274"/>
      <c r="Q55" s="274"/>
      <c r="R55" s="274"/>
      <c r="S55" s="274"/>
      <c r="T55" s="274"/>
      <c r="U55" s="274"/>
      <c r="V55" s="275"/>
      <c r="W55" s="230"/>
    </row>
    <row r="56" spans="1:37" ht="9.75" customHeight="1" x14ac:dyDescent="0.2">
      <c r="A56" s="128"/>
      <c r="B56" s="115"/>
      <c r="C56" s="89"/>
      <c r="D56" s="89"/>
      <c r="E56" s="256" t="str">
        <f>"Bahn " &amp; $P$10</f>
        <v>Bahn 1</v>
      </c>
      <c r="F56" s="257"/>
      <c r="G56" s="258"/>
      <c r="H56" s="256" t="str">
        <f>"Bahn " &amp; RIGHT(E56,2)+1</f>
        <v>Bahn 2</v>
      </c>
      <c r="I56" s="257"/>
      <c r="J56" s="258"/>
      <c r="K56" s="256" t="str">
        <f>"Bahn " &amp; RIGHT(H56,2)+1</f>
        <v>Bahn 3</v>
      </c>
      <c r="L56" s="257"/>
      <c r="M56" s="258"/>
      <c r="N56" s="256" t="str">
        <f>"Bahn " &amp; RIGHT(K56,2)+1</f>
        <v>Bahn 4</v>
      </c>
      <c r="O56" s="257"/>
      <c r="P56" s="258"/>
      <c r="Q56" s="95"/>
      <c r="R56" s="259" t="s">
        <v>55</v>
      </c>
      <c r="S56" s="260"/>
      <c r="T56" s="261"/>
      <c r="U56" s="262"/>
      <c r="V56" s="99"/>
      <c r="W56" s="230"/>
    </row>
    <row r="57" spans="1:37" ht="9.75" customHeight="1" x14ac:dyDescent="0.2">
      <c r="A57" s="129" t="s">
        <v>14</v>
      </c>
      <c r="B57" s="116" t="s">
        <v>13</v>
      </c>
      <c r="C57" s="91"/>
      <c r="D57" s="106"/>
      <c r="E57" s="129" t="s">
        <v>53</v>
      </c>
      <c r="F57" s="92" t="s">
        <v>54</v>
      </c>
      <c r="G57" s="100" t="s">
        <v>55</v>
      </c>
      <c r="H57" s="129" t="s">
        <v>53</v>
      </c>
      <c r="I57" s="92" t="s">
        <v>54</v>
      </c>
      <c r="J57" s="100" t="s">
        <v>55</v>
      </c>
      <c r="K57" s="129" t="s">
        <v>53</v>
      </c>
      <c r="L57" s="92" t="s">
        <v>54</v>
      </c>
      <c r="M57" s="100" t="s">
        <v>55</v>
      </c>
      <c r="N57" s="129" t="s">
        <v>53</v>
      </c>
      <c r="O57" s="92" t="s">
        <v>54</v>
      </c>
      <c r="P57" s="100" t="s">
        <v>55</v>
      </c>
      <c r="Q57" s="94"/>
      <c r="R57" s="90" t="s">
        <v>53</v>
      </c>
      <c r="S57" s="93" t="s">
        <v>54</v>
      </c>
      <c r="T57" s="93" t="s">
        <v>82</v>
      </c>
      <c r="U57" s="92" t="s">
        <v>57</v>
      </c>
      <c r="V57" s="100" t="s">
        <v>50</v>
      </c>
      <c r="W57" s="230"/>
    </row>
    <row r="58" spans="1:37" ht="19.7" customHeight="1" x14ac:dyDescent="0.2">
      <c r="A58" s="101"/>
      <c r="B58" s="263"/>
      <c r="C58" s="264"/>
      <c r="D58" s="264"/>
      <c r="E58" s="101"/>
      <c r="F58" s="213" t="str">
        <f t="shared" ref="F58:F63" si="30">IF(ISBLANK(G58),"",G58-E58)</f>
        <v/>
      </c>
      <c r="G58" s="223"/>
      <c r="H58" s="101"/>
      <c r="I58" s="213" t="str">
        <f t="shared" ref="I58:I63" si="31">IF(ISBLANK(J58),"",J58-H58)</f>
        <v/>
      </c>
      <c r="J58" s="223"/>
      <c r="K58" s="101"/>
      <c r="L58" s="213" t="str">
        <f t="shared" ref="L58:L63" si="32">IF(ISBLANK(M58),"",M58-K58)</f>
        <v/>
      </c>
      <c r="M58" s="223"/>
      <c r="N58" s="101"/>
      <c r="O58" s="213" t="str">
        <f t="shared" ref="O58:O63" si="33">IF(ISBLANK(P58),"",P58-N58)</f>
        <v/>
      </c>
      <c r="P58" s="223"/>
      <c r="Q58" s="157"/>
      <c r="R58" s="158" t="str">
        <f t="shared" ref="R58:R63" si="34">IF(E58+H58+K58+N58&gt;0,E58+H58+K58+N58,"")</f>
        <v/>
      </c>
      <c r="S58" s="175" t="str">
        <f t="shared" ref="S58:S63" si="35">IF(SUM(F58,I58,L58,O58)&gt;0,SUM(F58,I58,L58,O58),"")</f>
        <v/>
      </c>
      <c r="T58" s="205"/>
      <c r="U58" s="179" t="str">
        <f t="shared" ref="U58:U63" si="36">IF(AND(R58&lt;&gt;"",S58&lt;&gt;""),SUM(G58,J58,M58,P58)+(S58/10000)+IF(ISNUMBER(T58),(T58/10000000),0),"")</f>
        <v/>
      </c>
      <c r="V58" s="180" t="str">
        <f t="shared" ref="V58:V63" ca="1" si="37">IF(U58&gt;0,INDIRECT(ADDRESS(ROW(),26)),"")</f>
        <v/>
      </c>
      <c r="W58" s="234" t="s">
        <v>90</v>
      </c>
      <c r="X58" s="181" t="str">
        <f t="shared" ref="X58:X63" ca="1" si="38">INDIRECT(ADDRESS(ROW(),COLUMN()-3))</f>
        <v/>
      </c>
      <c r="Y58" s="119" t="e">
        <f t="shared" ref="Y58:Y63" ca="1" si="39">IF(X58=$X$15,ROW(),"")</f>
        <v>#N/A</v>
      </c>
      <c r="Z58" s="119" t="str">
        <f t="shared" ref="Z58:Z63" ca="1" si="40">IF(ISNUMBER(X58),25-RANK(X58,$X$19:$X$63,0),"")</f>
        <v/>
      </c>
      <c r="AE58" s="119"/>
      <c r="AJ58" s="119"/>
    </row>
    <row r="59" spans="1:37" ht="19.7" customHeight="1" x14ac:dyDescent="0.2">
      <c r="A59" s="101"/>
      <c r="B59" s="254"/>
      <c r="C59" s="255"/>
      <c r="D59" s="285"/>
      <c r="E59" s="101"/>
      <c r="F59" s="213" t="str">
        <f t="shared" si="30"/>
        <v/>
      </c>
      <c r="G59" s="223"/>
      <c r="H59" s="101"/>
      <c r="I59" s="213" t="str">
        <f t="shared" si="31"/>
        <v/>
      </c>
      <c r="J59" s="223"/>
      <c r="K59" s="101"/>
      <c r="L59" s="213" t="str">
        <f t="shared" si="32"/>
        <v/>
      </c>
      <c r="M59" s="223"/>
      <c r="N59" s="101"/>
      <c r="O59" s="213" t="str">
        <f t="shared" si="33"/>
        <v/>
      </c>
      <c r="P59" s="223"/>
      <c r="Q59" s="157"/>
      <c r="R59" s="158" t="str">
        <f t="shared" si="34"/>
        <v/>
      </c>
      <c r="S59" s="175" t="str">
        <f t="shared" si="35"/>
        <v/>
      </c>
      <c r="T59" s="205"/>
      <c r="U59" s="179" t="str">
        <f t="shared" si="36"/>
        <v/>
      </c>
      <c r="V59" s="180" t="str">
        <f t="shared" ca="1" si="37"/>
        <v/>
      </c>
      <c r="W59" s="230"/>
      <c r="X59" s="181" t="str">
        <f t="shared" ca="1" si="38"/>
        <v/>
      </c>
      <c r="Y59" s="119" t="e">
        <f t="shared" ca="1" si="39"/>
        <v>#N/A</v>
      </c>
      <c r="Z59" s="119" t="str">
        <f t="shared" ca="1" si="40"/>
        <v/>
      </c>
      <c r="AE59" s="119"/>
      <c r="AJ59" s="119"/>
      <c r="AK59" s="110"/>
    </row>
    <row r="60" spans="1:37" ht="19.7" customHeight="1" x14ac:dyDescent="0.2">
      <c r="A60" s="101"/>
      <c r="B60" s="254"/>
      <c r="C60" s="255"/>
      <c r="D60" s="285"/>
      <c r="E60" s="101"/>
      <c r="F60" s="213" t="str">
        <f t="shared" si="30"/>
        <v/>
      </c>
      <c r="G60" s="223"/>
      <c r="H60" s="101"/>
      <c r="I60" s="213" t="str">
        <f t="shared" si="31"/>
        <v/>
      </c>
      <c r="J60" s="223"/>
      <c r="K60" s="101"/>
      <c r="L60" s="213" t="str">
        <f t="shared" si="32"/>
        <v/>
      </c>
      <c r="M60" s="223"/>
      <c r="N60" s="101"/>
      <c r="O60" s="213" t="str">
        <f t="shared" si="33"/>
        <v/>
      </c>
      <c r="P60" s="223"/>
      <c r="Q60" s="157"/>
      <c r="R60" s="158" t="str">
        <f t="shared" si="34"/>
        <v/>
      </c>
      <c r="S60" s="175" t="str">
        <f t="shared" si="35"/>
        <v/>
      </c>
      <c r="T60" s="205"/>
      <c r="U60" s="179" t="str">
        <f t="shared" si="36"/>
        <v/>
      </c>
      <c r="V60" s="180" t="str">
        <f t="shared" ca="1" si="37"/>
        <v/>
      </c>
      <c r="W60" s="230"/>
      <c r="X60" s="181" t="str">
        <f t="shared" ca="1" si="38"/>
        <v/>
      </c>
      <c r="Y60" s="119" t="e">
        <f t="shared" ca="1" si="39"/>
        <v>#N/A</v>
      </c>
      <c r="Z60" s="119" t="str">
        <f t="shared" ca="1" si="40"/>
        <v/>
      </c>
      <c r="AE60" s="119"/>
      <c r="AJ60" s="119"/>
    </row>
    <row r="61" spans="1:37" ht="19.7" customHeight="1" x14ac:dyDescent="0.2">
      <c r="A61" s="101"/>
      <c r="B61" s="254"/>
      <c r="C61" s="255"/>
      <c r="D61" s="285"/>
      <c r="E61" s="101"/>
      <c r="F61" s="213" t="str">
        <f t="shared" si="30"/>
        <v/>
      </c>
      <c r="G61" s="223"/>
      <c r="H61" s="101"/>
      <c r="I61" s="213" t="str">
        <f t="shared" si="31"/>
        <v/>
      </c>
      <c r="J61" s="223"/>
      <c r="K61" s="101"/>
      <c r="L61" s="213" t="str">
        <f t="shared" si="32"/>
        <v/>
      </c>
      <c r="M61" s="223"/>
      <c r="N61" s="101"/>
      <c r="O61" s="213" t="str">
        <f t="shared" si="33"/>
        <v/>
      </c>
      <c r="P61" s="223"/>
      <c r="Q61" s="157"/>
      <c r="R61" s="158" t="str">
        <f t="shared" si="34"/>
        <v/>
      </c>
      <c r="S61" s="175" t="str">
        <f t="shared" si="35"/>
        <v/>
      </c>
      <c r="T61" s="205"/>
      <c r="U61" s="179" t="str">
        <f t="shared" si="36"/>
        <v/>
      </c>
      <c r="V61" s="180" t="str">
        <f t="shared" ca="1" si="37"/>
        <v/>
      </c>
      <c r="W61" s="230"/>
      <c r="X61" s="181" t="str">
        <f t="shared" ca="1" si="38"/>
        <v/>
      </c>
      <c r="Y61" s="119" t="e">
        <f t="shared" ca="1" si="39"/>
        <v>#N/A</v>
      </c>
      <c r="Z61" s="119" t="str">
        <f t="shared" ca="1" si="40"/>
        <v/>
      </c>
      <c r="AE61" s="119"/>
      <c r="AJ61" s="119"/>
    </row>
    <row r="62" spans="1:37" ht="19.7" customHeight="1" x14ac:dyDescent="0.2">
      <c r="A62" s="101"/>
      <c r="B62" s="254"/>
      <c r="C62" s="255"/>
      <c r="D62" s="285"/>
      <c r="E62" s="101"/>
      <c r="F62" s="213" t="str">
        <f t="shared" si="30"/>
        <v/>
      </c>
      <c r="G62" s="223"/>
      <c r="H62" s="101"/>
      <c r="I62" s="213" t="str">
        <f t="shared" si="31"/>
        <v/>
      </c>
      <c r="J62" s="223"/>
      <c r="K62" s="101"/>
      <c r="L62" s="213" t="str">
        <f t="shared" si="32"/>
        <v/>
      </c>
      <c r="M62" s="223"/>
      <c r="N62" s="101"/>
      <c r="O62" s="213" t="str">
        <f t="shared" si="33"/>
        <v/>
      </c>
      <c r="P62" s="223"/>
      <c r="Q62" s="157"/>
      <c r="R62" s="158" t="str">
        <f t="shared" si="34"/>
        <v/>
      </c>
      <c r="S62" s="175" t="str">
        <f t="shared" si="35"/>
        <v/>
      </c>
      <c r="T62" s="205"/>
      <c r="U62" s="179" t="str">
        <f t="shared" si="36"/>
        <v/>
      </c>
      <c r="V62" s="180" t="str">
        <f t="shared" ca="1" si="37"/>
        <v/>
      </c>
      <c r="W62" s="230"/>
      <c r="X62" s="181" t="str">
        <f t="shared" ca="1" si="38"/>
        <v/>
      </c>
      <c r="Y62" s="119" t="e">
        <f t="shared" ca="1" si="39"/>
        <v>#N/A</v>
      </c>
      <c r="Z62" s="119" t="str">
        <f t="shared" ca="1" si="40"/>
        <v/>
      </c>
      <c r="AE62" s="119"/>
      <c r="AJ62" s="119"/>
    </row>
    <row r="63" spans="1:37" ht="19.7" customHeight="1" x14ac:dyDescent="0.2">
      <c r="A63" s="101"/>
      <c r="B63" s="282"/>
      <c r="C63" s="283"/>
      <c r="D63" s="284"/>
      <c r="E63" s="224"/>
      <c r="F63" s="225" t="str">
        <f t="shared" si="30"/>
        <v/>
      </c>
      <c r="G63" s="226"/>
      <c r="H63" s="224"/>
      <c r="I63" s="225" t="str">
        <f t="shared" si="31"/>
        <v/>
      </c>
      <c r="J63" s="226"/>
      <c r="K63" s="224"/>
      <c r="L63" s="225" t="str">
        <f t="shared" si="32"/>
        <v/>
      </c>
      <c r="M63" s="226"/>
      <c r="N63" s="224"/>
      <c r="O63" s="225" t="str">
        <f t="shared" si="33"/>
        <v/>
      </c>
      <c r="P63" s="226"/>
      <c r="Q63" s="159"/>
      <c r="R63" s="214" t="str">
        <f t="shared" si="34"/>
        <v/>
      </c>
      <c r="S63" s="215" t="str">
        <f t="shared" si="35"/>
        <v/>
      </c>
      <c r="T63" s="205"/>
      <c r="U63" s="179" t="str">
        <f t="shared" si="36"/>
        <v/>
      </c>
      <c r="V63" s="216" t="str">
        <f t="shared" ca="1" si="37"/>
        <v/>
      </c>
      <c r="W63" s="232"/>
      <c r="X63" s="181" t="str">
        <f t="shared" ca="1" si="38"/>
        <v/>
      </c>
      <c r="Y63" s="119" t="e">
        <f t="shared" ca="1" si="39"/>
        <v>#N/A</v>
      </c>
      <c r="Z63" s="119" t="str">
        <f t="shared" ca="1" si="40"/>
        <v/>
      </c>
      <c r="AE63" s="119"/>
      <c r="AJ63" s="119"/>
    </row>
    <row r="64" spans="1:37" ht="19.7" customHeight="1" x14ac:dyDescent="0.25">
      <c r="A64" s="102"/>
      <c r="B64" s="117" t="s">
        <v>10</v>
      </c>
      <c r="C64" s="103"/>
      <c r="D64" s="104" t="str">
        <f ca="1">IF(U64="","",IF(U64&gt;0,INDIRECT(ADDRESS(ROUND(ROW()/14,0)+1,26)),0))</f>
        <v/>
      </c>
      <c r="E64" s="286" t="str">
        <f ca="1">"Mannschaft "&amp;MIN(Z64:AB64)&amp;" und "&amp;MAX(Z64:AB64)&amp;" haben das gleiche Ergebnis !  Es ent-scheidet nun die größere Zahl von Kränzen und Neunen."</f>
        <v>Mannschaft 0 und 0 haben das gleiche Ergebnis !  Es ent-scheidet nun die größere Zahl von Kränzen und Neunen.</v>
      </c>
      <c r="F64" s="286"/>
      <c r="G64" s="286"/>
      <c r="H64" s="286"/>
      <c r="I64" s="286"/>
      <c r="J64" s="286"/>
      <c r="K64" s="286"/>
      <c r="L64" s="286"/>
      <c r="M64" s="286"/>
      <c r="N64" s="286"/>
      <c r="O64" s="286"/>
      <c r="P64" s="286"/>
      <c r="Q64" s="105"/>
      <c r="R64" s="217" t="str">
        <f>IF(SUM(R58:R63)&gt;0,SUM(R58:R63),"")</f>
        <v/>
      </c>
      <c r="S64" s="218" t="str">
        <f>IF(SUM(S58:S63)&gt;0,SUM(S58:S63),"")</f>
        <v/>
      </c>
      <c r="T64" s="218" t="str">
        <f>IF(SUM(T58:T63)&gt;0,SUM(T58:T63),"")</f>
        <v/>
      </c>
      <c r="U64" s="219" t="str">
        <f>IF(SUM(U58:U63)&gt;0,ROUND(SUM(U58:U63),0),"")</f>
        <v/>
      </c>
      <c r="V64" s="220" t="str">
        <f ca="1">IF(COUNT(V58:V63)&gt;0,SUM(V58:V63),"")</f>
        <v/>
      </c>
      <c r="W64" s="232"/>
      <c r="AA64" s="169">
        <f ca="1">INDIRECT(ADDRESS(ROUND(ROW()/14,0)+1,COLUMN()-2))</f>
        <v>0</v>
      </c>
      <c r="AB64" s="119">
        <f ca="1">MAX(AA$25,AA$38,AA$51)</f>
        <v>0</v>
      </c>
    </row>
    <row r="65" spans="1:23" ht="9" customHeight="1" thickBot="1" x14ac:dyDescent="0.25">
      <c r="A65" s="60"/>
      <c r="B65" s="118"/>
      <c r="C65" s="61"/>
      <c r="D65" s="61"/>
      <c r="E65" s="287"/>
      <c r="F65" s="287"/>
      <c r="G65" s="287"/>
      <c r="H65" s="287"/>
      <c r="I65" s="287"/>
      <c r="J65" s="287"/>
      <c r="K65" s="287"/>
      <c r="L65" s="287"/>
      <c r="M65" s="287"/>
      <c r="N65" s="287"/>
      <c r="O65" s="287"/>
      <c r="P65" s="287"/>
      <c r="Q65" s="62"/>
      <c r="R65" s="62"/>
      <c r="S65" s="62"/>
      <c r="T65" s="62"/>
      <c r="U65" s="62"/>
      <c r="V65" s="63"/>
      <c r="W65" s="230"/>
    </row>
  </sheetData>
  <sheetProtection algorithmName="SHA-512" hashValue="Vigeb71qyNZJe7pKlIC0xVvysne1pmTSjy0CBDHJ6Vho1oW6VyImj8C2d+NFWUjP5/g3yt5HDvbWomentQQVtg==" saltValue="Vn/NeDMYA4IQPY6DyZwPMg==" spinCount="100000" sheet="1" objects="1" scenarios="1" selectLockedCells="1"/>
  <dataConsolidate/>
  <mergeCells count="67">
    <mergeCell ref="H56:J56"/>
    <mergeCell ref="B45:D45"/>
    <mergeCell ref="B46:D46"/>
    <mergeCell ref="E56:G56"/>
    <mergeCell ref="B48:D48"/>
    <mergeCell ref="B49:D49"/>
    <mergeCell ref="B50:D50"/>
    <mergeCell ref="B47:D47"/>
    <mergeCell ref="E64:P65"/>
    <mergeCell ref="AA1:AB1"/>
    <mergeCell ref="E25:P26"/>
    <mergeCell ref="E38:P39"/>
    <mergeCell ref="E51:P52"/>
    <mergeCell ref="R56:U56"/>
    <mergeCell ref="B54:H54"/>
    <mergeCell ref="R30:U30"/>
    <mergeCell ref="R43:U43"/>
    <mergeCell ref="K40:V40"/>
    <mergeCell ref="B63:D63"/>
    <mergeCell ref="B58:D58"/>
    <mergeCell ref="B59:D59"/>
    <mergeCell ref="B60:D60"/>
    <mergeCell ref="B61:D61"/>
    <mergeCell ref="B62:D62"/>
    <mergeCell ref="B21:D21"/>
    <mergeCell ref="B32:D32"/>
    <mergeCell ref="B33:D33"/>
    <mergeCell ref="B36:D36"/>
    <mergeCell ref="B22:D22"/>
    <mergeCell ref="B28:H28"/>
    <mergeCell ref="B34:D34"/>
    <mergeCell ref="B35:D35"/>
    <mergeCell ref="E30:G30"/>
    <mergeCell ref="B23:D23"/>
    <mergeCell ref="B24:D24"/>
    <mergeCell ref="K27:V27"/>
    <mergeCell ref="K28:V29"/>
    <mergeCell ref="E43:G43"/>
    <mergeCell ref="B37:D37"/>
    <mergeCell ref="B41:H41"/>
    <mergeCell ref="H43:J43"/>
    <mergeCell ref="H30:J30"/>
    <mergeCell ref="K56:M56"/>
    <mergeCell ref="N56:P56"/>
    <mergeCell ref="K30:M30"/>
    <mergeCell ref="N30:P30"/>
    <mergeCell ref="K54:V55"/>
    <mergeCell ref="K41:V42"/>
    <mergeCell ref="K53:V53"/>
    <mergeCell ref="N43:P43"/>
    <mergeCell ref="K43:M43"/>
    <mergeCell ref="D1:P4"/>
    <mergeCell ref="C12:F12"/>
    <mergeCell ref="B10:M10"/>
    <mergeCell ref="B15:H15"/>
    <mergeCell ref="K14:V14"/>
    <mergeCell ref="K15:V16"/>
    <mergeCell ref="A1:C5"/>
    <mergeCell ref="J6:M7"/>
    <mergeCell ref="E6:H7"/>
    <mergeCell ref="B20:D20"/>
    <mergeCell ref="H17:J17"/>
    <mergeCell ref="E17:G17"/>
    <mergeCell ref="R17:U17"/>
    <mergeCell ref="K17:M17"/>
    <mergeCell ref="N17:P17"/>
    <mergeCell ref="B19:D19"/>
  </mergeCells>
  <phoneticPr fontId="0" type="noConversion"/>
  <conditionalFormatting sqref="S51:U51 S25:U25 S64:U64 S38:U38">
    <cfRule type="expression" dxfId="8" priority="1" stopIfTrue="1">
      <formula>$AA25&gt;0</formula>
    </cfRule>
  </conditionalFormatting>
  <conditionalFormatting sqref="E64:P65 E51:P52 E38:P39 E25:P26">
    <cfRule type="expression" dxfId="7" priority="2" stopIfTrue="1">
      <formula>$AA25&gt;0</formula>
    </cfRule>
  </conditionalFormatting>
  <conditionalFormatting sqref="S19:S24 S45:S50 S58:S63 U19:U24 U32:U37 U45:U50 U58:U63 S32:S37">
    <cfRule type="expression" dxfId="6" priority="3" stopIfTrue="1">
      <formula>AND($Y19&gt;0,ISNUMBER($Y19))</formula>
    </cfRule>
  </conditionalFormatting>
  <dataValidations xWindow="652" yWindow="397" count="17">
    <dataValidation allowBlank="1" sqref="W63:W65536 D5:D9 E5:E6 A6:C9 N5:P9 W50:W57 D1 A42:J42 A53:A55 A39:D40 A26:D27 B55:I55 B53:I53 E27:J27 E40:J40 B14:J14 R12:U12 A1 J53:J55 F5:M5 W1:W18 W23:W31 X1:AE1048576 W35 W37:W44 AF1:AF64"/>
    <dataValidation allowBlank="1" showInputMessage="1" showErrorMessage="1" promptTitle="A C H T U N G !!!" prompt="Bitte keine manuellen Eingaben machen!_x000a_Tabelle wird durch Makros beschrieben!_x000a_Wie? In der Menüleiste unter &quot;Kegelfunktionen&quot;. " sqref="AM18:AM23"/>
    <dataValidation type="textLength" allowBlank="1" showInputMessage="1" showErrorMessage="1" promptTitle="Eingabe" prompt="Zur Auswahl bitte mit linker Maustaste doppelt klicken!" sqref="Q7:Q8">
      <formula1>9999</formula1>
      <formula2>9999</formula2>
    </dataValidation>
    <dataValidation allowBlank="1" showErrorMessage="1" errorTitle="A C H T U N G !!!" error="Falscher Datumswert!" promptTitle="Eingabe des Spieldatums" prompt="Nur gültiger Datumseintrag möglich (01.01.2006 - 31.12.2020)" sqref="M13 M11"/>
    <dataValidation type="whole" allowBlank="1" showInputMessage="1" showErrorMessage="1" errorTitle="A C H T U N G !!!" error="Falsche Spielnummer!" promptTitle="Eingabe der Spielnummer" prompt="Nur Eingaben von 1 - 4 möglich!" sqref="P12:Q12">
      <formula1>1</formula1>
      <formula2>4</formula2>
    </dataValidation>
    <dataValidation allowBlank="1" promptTitle="Eingabe &quot;Spielort&quot;" prompt="Stadt / Ort, ggf. Kegelbahnanlage" sqref="B12 J12:M12"/>
    <dataValidation allowBlank="1" errorTitle="A C H T U N G !!!" error="Üngültige Spiel-Nr.!_x000a__x000a_Es sind nur Werte zwischen 1 - 90 zugelassen" promptTitle="Eingabe der Spiel-Nr." prompt="Min.  Nr. = 1_x000a_Max. Nr. = 90" sqref="V13"/>
    <dataValidation allowBlank="1" errorTitle="A C H T U N G !!!" error="G l e i c h e   H o l z z a h l e n !_x000a__x000a_Bitte dem höheren ZWP eine entsprechende Kommastelle hinzufügen (gleiche Holzzahl 800 z.B. 800,1)" sqref="A19:D24 A32:D37 A45:D50 A58:D63"/>
    <dataValidation allowBlank="1" showInputMessage="1" showErrorMessage="1" promptTitle="Automatischer Eintrag!" prompt="Dieses Feld wird automatisch berechnet!" sqref="D38 T25 D64 R45:S51 D51 U32:V38 D25 R17:S25 U17:V25 T17:T18 T38 R32:S38 U45:V51 T51 U58:V64 T64 R58:S64"/>
    <dataValidation type="date" allowBlank="1" showErrorMessage="1" promptTitle="Eingabe &quot;Datum des Spiels&quot;" prompt="Eingabeformat: &quot;TT.MM.JJJJ&quot;" sqref="G12">
      <formula1>40179</formula1>
      <formula2>44196</formula2>
    </dataValidation>
    <dataValidation allowBlank="1" showErrorMessage="1" promptTitle="Eingabe &quot;Spielort&quot;" prompt="Stadt / Ort, ggf. Kegelbahnanlage" sqref="Q10:T10 B10:O10"/>
    <dataValidation type="whole" allowBlank="1" showErrorMessage="1" errorTitle="A c h t u n g !!!" error="Nur Einträge von 1 - 20 zulässig!" promptTitle="Eingabe der ersten Spielbahn" prompt="Wird auf Bahn 1 - 4 gespilet, dann 1_x000a_wird auf Bahn 5 - 8 gespilet, dann 5" sqref="P10">
      <formula1>1</formula1>
      <formula2>20</formula2>
    </dataValidation>
    <dataValidation type="list" allowBlank="1" showInputMessage="1" showErrorMessage="1" sqref="B41:H41 B28:H28 B15:H15 B54:H54">
      <formula1>$AG$2:$AG$40</formula1>
    </dataValidation>
    <dataValidation type="textLength" allowBlank="1" showInputMessage="1" showErrorMessage="1" promptTitle="Eingabe" prompt="Zur Auswahl bitte mit linker Maustaste doppelt klicken!" sqref="Q2:Q5">
      <formula1>1</formula1>
      <formula2>1</formula2>
    </dataValidation>
    <dataValidation allowBlank="1" showErrorMessage="1" sqref="I15 I54 I41 I28"/>
    <dataValidation allowBlank="1" showErrorMessage="1" promptTitle="Automatischer Eintrag!" prompt="Dieses Feld wird automatisch berechnet!" sqref="T45:T50 T19:T24 T32:T37 T58:T63"/>
    <dataValidation type="date" allowBlank="1" showErrorMessage="1" promptTitle="Eingabe &quot;Datum des Spiels&quot;" prompt="Eingabeformat: &quot;TT.MM.JJJJ&quot;" sqref="C12:F12">
      <formula1>43831</formula1>
      <formula2>51501</formula2>
    </dataValidation>
  </dataValidations>
  <printOptions horizontalCentered="1"/>
  <pageMargins left="0.59055118110236227" right="0.39370078740157483" top="0.59055118110236227" bottom="0.59055118110236227" header="0.23622047244094491" footer="0.39370078740157483"/>
  <pageSetup paperSize="9" scale="80" orientation="portrait" horizontalDpi="4294967293" verticalDpi="4294967293" r:id="rId1"/>
  <headerFooter alignWithMargins="0">
    <oddFooter>&amp;L&amp;8Dokument erstellt: Klaus Panthel &amp;"Arial,Fett Kursiv" / Walter Adolph Sektionssportwart &amp;R&amp;8Stand: &amp;"Arial,Fett"Januar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80" r:id="rId4" name="Button 212">
              <controlPr defaultSize="0" print="0" autoFill="0" autoPict="0" macro="[0]!SpBmG.Zeilen_ausblenden">
                <anchor moveWithCells="1" sizeWithCells="1">
                  <from>
                    <xdr:col>22</xdr:col>
                    <xdr:colOff>552450</xdr:colOff>
                    <xdr:row>13</xdr:row>
                    <xdr:rowOff>9525</xdr:rowOff>
                  </from>
                  <to>
                    <xdr:col>22</xdr:col>
                    <xdr:colOff>1552575</xdr:colOff>
                    <xdr:row>16</xdr:row>
                    <xdr:rowOff>38100</xdr:rowOff>
                  </to>
                </anchor>
              </controlPr>
            </control>
          </mc:Choice>
        </mc:AlternateContent>
        <mc:AlternateContent xmlns:mc="http://schemas.openxmlformats.org/markup-compatibility/2006">
          <mc:Choice Requires="x14">
            <control shapeId="7385" r:id="rId5" name="Button 217">
              <controlPr defaultSize="0" print="0" autoFill="0" autoPict="0" macro="[0]!SpBmG.Zeilen_einblenden">
                <anchor moveWithCells="1" sizeWithCells="1">
                  <from>
                    <xdr:col>22</xdr:col>
                    <xdr:colOff>1762125</xdr:colOff>
                    <xdr:row>13</xdr:row>
                    <xdr:rowOff>9525</xdr:rowOff>
                  </from>
                  <to>
                    <xdr:col>22</xdr:col>
                    <xdr:colOff>2762250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pB">
    <pageSetUpPr fitToPage="1"/>
  </sheetPr>
  <dimension ref="A1:AO60"/>
  <sheetViews>
    <sheetView zoomScaleNormal="75" workbookViewId="0">
      <selection activeCell="C52" sqref="C52:U52"/>
    </sheetView>
  </sheetViews>
  <sheetFormatPr baseColWidth="10" defaultRowHeight="12.75" x14ac:dyDescent="0.2"/>
  <cols>
    <col min="1" max="1" width="10.28515625" style="3" customWidth="1"/>
    <col min="2" max="2" width="8.7109375" style="1" customWidth="1"/>
    <col min="3" max="3" width="4" style="1" customWidth="1"/>
    <col min="4" max="4" width="5" style="1" customWidth="1"/>
    <col min="5" max="5" width="3.5703125" style="1" customWidth="1"/>
    <col min="6" max="10" width="6.85546875" style="1" customWidth="1"/>
    <col min="11" max="11" width="10.28515625" style="1" customWidth="1"/>
    <col min="12" max="12" width="8.7109375" style="1" customWidth="1"/>
    <col min="13" max="13" width="5.7109375" style="1" customWidth="1"/>
    <col min="14" max="14" width="1.140625" style="1" customWidth="1"/>
    <col min="15" max="15" width="3.7109375" style="1" customWidth="1"/>
    <col min="16" max="16" width="2.7109375" style="1" customWidth="1"/>
    <col min="17" max="21" width="6.85546875" style="1" customWidth="1"/>
    <col min="22" max="22" width="8.7109375" style="1" customWidth="1"/>
    <col min="23" max="25" width="7.28515625" style="143" hidden="1" customWidth="1"/>
    <col min="26" max="27" width="10" style="143" hidden="1" customWidth="1"/>
    <col min="28" max="29" width="5" style="143" hidden="1" customWidth="1"/>
    <col min="30" max="30" width="4.140625" style="143" hidden="1" customWidth="1"/>
    <col min="31" max="31" width="8.140625" style="143" hidden="1" customWidth="1"/>
    <col min="32" max="32" width="10.85546875" style="184" hidden="1" customWidth="1"/>
    <col min="33" max="33" width="4.28515625" style="1" hidden="1" customWidth="1"/>
    <col min="34" max="34" width="5" style="1" hidden="1" customWidth="1"/>
    <col min="35" max="35" width="2" style="1" hidden="1" customWidth="1"/>
    <col min="36" max="36" width="5" style="1" hidden="1" customWidth="1"/>
    <col min="37" max="38" width="2" style="1" hidden="1" customWidth="1"/>
    <col min="39" max="41" width="5" style="1" bestFit="1" customWidth="1"/>
    <col min="42" max="16384" width="11.42578125" style="1"/>
  </cols>
  <sheetData>
    <row r="1" spans="1:41" ht="25.5" customHeight="1" x14ac:dyDescent="0.35">
      <c r="A1" s="322" t="s">
        <v>93</v>
      </c>
      <c r="B1" s="323"/>
      <c r="C1" s="323"/>
      <c r="D1" s="323"/>
      <c r="E1" s="331" t="s">
        <v>84</v>
      </c>
      <c r="F1" s="331"/>
      <c r="G1" s="331"/>
      <c r="H1" s="331"/>
      <c r="I1" s="331"/>
      <c r="J1" s="331"/>
      <c r="K1" s="331"/>
      <c r="L1" s="331"/>
      <c r="M1" s="331"/>
      <c r="N1" s="174"/>
      <c r="O1" s="174"/>
      <c r="P1" s="49"/>
      <c r="Q1" s="49"/>
      <c r="R1" s="49"/>
      <c r="S1" s="137"/>
      <c r="T1" s="137"/>
      <c r="U1" s="69"/>
      <c r="AG1" s="2"/>
      <c r="AH1" s="2"/>
      <c r="AI1" s="2"/>
      <c r="AJ1" s="2"/>
      <c r="AK1" s="2"/>
      <c r="AL1" s="2"/>
      <c r="AM1" s="2"/>
      <c r="AN1" s="2"/>
      <c r="AO1" s="2"/>
    </row>
    <row r="2" spans="1:41" ht="12" customHeight="1" x14ac:dyDescent="0.35">
      <c r="A2" s="324"/>
      <c r="B2" s="325"/>
      <c r="C2" s="325"/>
      <c r="D2" s="325"/>
      <c r="E2" s="332"/>
      <c r="F2" s="332"/>
      <c r="G2" s="332"/>
      <c r="H2" s="332"/>
      <c r="I2" s="332"/>
      <c r="J2" s="332"/>
      <c r="K2" s="332"/>
      <c r="L2" s="332"/>
      <c r="M2" s="332"/>
      <c r="N2" s="195"/>
      <c r="O2" s="195"/>
      <c r="P2" s="208" t="str">
        <f>IF(W2=0,"",W2)</f>
        <v/>
      </c>
      <c r="Q2" s="242" t="str">
        <f>'SpB m Gassen'!R2</f>
        <v>Rheinland-Pfalz-Liga</v>
      </c>
      <c r="R2" s="242"/>
      <c r="S2" s="242"/>
      <c r="T2" s="7"/>
      <c r="U2" s="50"/>
      <c r="W2" s="209">
        <f>BULI_HE_1</f>
        <v>0</v>
      </c>
      <c r="AE2" s="144"/>
      <c r="AG2" s="2"/>
      <c r="AH2" s="2"/>
      <c r="AI2" s="2"/>
      <c r="AJ2" s="2"/>
      <c r="AK2" s="2"/>
      <c r="AL2" s="2"/>
      <c r="AM2" s="2"/>
      <c r="AN2" s="2"/>
      <c r="AO2" s="147"/>
    </row>
    <row r="3" spans="1:41" ht="12" customHeight="1" x14ac:dyDescent="0.35">
      <c r="A3" s="324"/>
      <c r="B3" s="325"/>
      <c r="C3" s="325"/>
      <c r="D3" s="325"/>
      <c r="E3" s="333" t="s">
        <v>85</v>
      </c>
      <c r="F3" s="333"/>
      <c r="G3" s="333"/>
      <c r="H3" s="333"/>
      <c r="I3" s="333"/>
      <c r="J3" s="333"/>
      <c r="K3" s="333"/>
      <c r="L3" s="333"/>
      <c r="M3" s="333"/>
      <c r="N3" s="195"/>
      <c r="O3" s="195"/>
      <c r="P3" s="7" t="str">
        <f>IF(W3=0,"",W3)</f>
        <v/>
      </c>
      <c r="Q3" s="7"/>
      <c r="R3" s="7"/>
      <c r="S3" s="7"/>
      <c r="T3" s="7"/>
      <c r="U3" s="50"/>
      <c r="W3" s="209">
        <f>BULI_HE_S</f>
        <v>0</v>
      </c>
      <c r="AG3" s="2"/>
    </row>
    <row r="4" spans="1:41" ht="12" customHeight="1" x14ac:dyDescent="0.35">
      <c r="A4" s="324"/>
      <c r="B4" s="325"/>
      <c r="C4" s="325"/>
      <c r="D4" s="325"/>
      <c r="E4" s="333"/>
      <c r="F4" s="333"/>
      <c r="G4" s="333"/>
      <c r="H4" s="333"/>
      <c r="I4" s="333"/>
      <c r="J4" s="333"/>
      <c r="K4" s="333"/>
      <c r="L4" s="333"/>
      <c r="M4" s="333"/>
      <c r="N4" s="195"/>
      <c r="O4" s="195"/>
      <c r="P4" s="7" t="str">
        <f>IF(W4=0,"",W4)</f>
        <v/>
      </c>
      <c r="Q4" s="7"/>
      <c r="R4" s="7"/>
      <c r="S4" s="7"/>
      <c r="T4" s="7"/>
      <c r="U4" s="50"/>
      <c r="W4" s="209">
        <f>BULI_HE_N</f>
        <v>0</v>
      </c>
      <c r="AG4" s="2"/>
    </row>
    <row r="5" spans="1:41" ht="12" customHeight="1" x14ac:dyDescent="0.2">
      <c r="A5" s="324"/>
      <c r="B5" s="325"/>
      <c r="C5" s="325"/>
      <c r="D5" s="325"/>
      <c r="E5" s="197"/>
      <c r="F5" s="197"/>
      <c r="G5" s="197"/>
      <c r="H5" s="197"/>
      <c r="I5" s="193"/>
      <c r="J5" s="198"/>
      <c r="K5" s="198"/>
      <c r="L5" s="193"/>
      <c r="M5" s="194"/>
      <c r="N5" s="7"/>
      <c r="O5" s="7"/>
      <c r="P5" s="7" t="str">
        <f>IF(W5=0,"",W5)</f>
        <v/>
      </c>
      <c r="Q5" s="7"/>
      <c r="R5" s="7"/>
      <c r="S5" s="7"/>
      <c r="T5" s="7"/>
      <c r="U5" s="50"/>
      <c r="W5" s="209">
        <f>BULI_DA</f>
        <v>0</v>
      </c>
      <c r="AG5" s="2"/>
    </row>
    <row r="6" spans="1:41" ht="12" customHeight="1" x14ac:dyDescent="0.2">
      <c r="A6" s="51"/>
      <c r="B6" s="33"/>
      <c r="C6" s="33"/>
      <c r="D6" s="5"/>
      <c r="E6" s="334" t="s">
        <v>87</v>
      </c>
      <c r="F6" s="334"/>
      <c r="G6" s="334"/>
      <c r="H6" s="334"/>
      <c r="I6" s="334"/>
      <c r="J6" s="334"/>
      <c r="K6" s="334"/>
      <c r="L6" s="334"/>
      <c r="M6" s="334"/>
      <c r="N6" s="7"/>
      <c r="O6" s="7"/>
      <c r="P6" s="5"/>
      <c r="Q6" s="5"/>
      <c r="R6" s="5"/>
      <c r="S6" s="5"/>
      <c r="T6" s="5"/>
      <c r="U6" s="52"/>
      <c r="W6" s="209"/>
      <c r="AG6" s="2"/>
    </row>
    <row r="7" spans="1:41" ht="12" customHeight="1" x14ac:dyDescent="0.2">
      <c r="A7" s="51"/>
      <c r="B7" s="33"/>
      <c r="C7" s="33"/>
      <c r="D7" s="5"/>
      <c r="E7" s="334"/>
      <c r="F7" s="334"/>
      <c r="G7" s="334"/>
      <c r="H7" s="334"/>
      <c r="I7" s="334"/>
      <c r="J7" s="334"/>
      <c r="K7" s="334"/>
      <c r="L7" s="334"/>
      <c r="M7" s="334"/>
      <c r="N7" s="7"/>
      <c r="O7" s="7"/>
      <c r="P7" s="208" t="str">
        <f>IF(W7=0,"",W7)</f>
        <v/>
      </c>
      <c r="Q7" s="243" t="s">
        <v>30</v>
      </c>
      <c r="R7" s="243"/>
      <c r="S7" s="5"/>
      <c r="T7" s="5"/>
      <c r="U7" s="52"/>
      <c r="W7" s="209">
        <f>BULI_MR</f>
        <v>0</v>
      </c>
      <c r="AG7" s="2"/>
    </row>
    <row r="8" spans="1:41" ht="12" customHeight="1" x14ac:dyDescent="0.2">
      <c r="A8" s="53"/>
      <c r="B8" s="5"/>
      <c r="C8" s="5"/>
      <c r="D8" s="5"/>
      <c r="E8" s="5"/>
      <c r="F8" s="8"/>
      <c r="G8" s="8"/>
      <c r="H8" s="7"/>
      <c r="I8" s="7"/>
      <c r="J8" s="7"/>
      <c r="K8" s="8"/>
      <c r="L8" s="7"/>
      <c r="M8" s="6"/>
      <c r="N8" s="5"/>
      <c r="O8" s="5"/>
      <c r="P8" s="208" t="str">
        <f>IF(W8=0,"",W8)</f>
        <v/>
      </c>
      <c r="Q8" s="243" t="s">
        <v>31</v>
      </c>
      <c r="R8" s="243"/>
      <c r="S8" s="196" t="s">
        <v>77</v>
      </c>
      <c r="T8" s="12"/>
      <c r="U8" s="56"/>
      <c r="W8" s="209">
        <f>BULI_AR</f>
        <v>0</v>
      </c>
      <c r="AG8" s="2"/>
    </row>
    <row r="9" spans="1:41" ht="4.5" customHeight="1" x14ac:dyDescent="0.2">
      <c r="A9" s="54"/>
      <c r="B9" s="67"/>
      <c r="C9" s="67"/>
      <c r="D9" s="67"/>
      <c r="E9" s="67"/>
      <c r="F9" s="67"/>
      <c r="G9" s="67"/>
      <c r="H9" s="67"/>
      <c r="I9" s="67"/>
      <c r="J9" s="67"/>
      <c r="K9" s="67"/>
      <c r="L9" s="68"/>
      <c r="M9" s="68"/>
      <c r="N9" s="37"/>
      <c r="O9" s="37"/>
      <c r="P9" s="37"/>
      <c r="Q9" s="37"/>
      <c r="R9" s="37"/>
      <c r="S9" s="35"/>
      <c r="T9" s="35"/>
      <c r="U9" s="71"/>
      <c r="W9" s="209"/>
      <c r="AG9" s="2"/>
    </row>
    <row r="10" spans="1:41" ht="22.5" customHeight="1" x14ac:dyDescent="0.25">
      <c r="A10" s="55" t="s">
        <v>11</v>
      </c>
      <c r="B10" s="296" t="str">
        <f>IF(ISBLANK(SPIELORT),"",SPIELORT)</f>
        <v/>
      </c>
      <c r="C10" s="296"/>
      <c r="D10" s="296"/>
      <c r="E10" s="296"/>
      <c r="F10" s="296"/>
      <c r="G10" s="296"/>
      <c r="H10" s="296"/>
      <c r="I10" s="296"/>
      <c r="J10" s="296"/>
      <c r="K10" s="296"/>
      <c r="L10" s="67"/>
      <c r="M10" s="37" t="s">
        <v>79</v>
      </c>
      <c r="N10" s="37"/>
      <c r="O10" s="335">
        <f>IF(ISBLANK(BAHN),1,BAHN)</f>
        <v>1</v>
      </c>
      <c r="P10" s="335"/>
      <c r="Q10" s="173" t="str">
        <f>"-   "&amp;O10+3</f>
        <v>-   4</v>
      </c>
      <c r="R10" s="154"/>
      <c r="S10" s="326" t="s">
        <v>92</v>
      </c>
      <c r="T10" s="326"/>
      <c r="U10" s="327"/>
      <c r="AG10" s="2"/>
    </row>
    <row r="11" spans="1:41" ht="4.5" customHeight="1" x14ac:dyDescent="0.2">
      <c r="A11" s="54"/>
      <c r="B11" s="67"/>
      <c r="C11" s="67"/>
      <c r="D11" s="67"/>
      <c r="E11" s="67"/>
      <c r="F11" s="67"/>
      <c r="G11" s="67"/>
      <c r="H11" s="67"/>
      <c r="I11" s="67"/>
      <c r="J11" s="67"/>
      <c r="K11" s="67"/>
      <c r="L11" s="68"/>
      <c r="M11" s="37"/>
      <c r="N11" s="37"/>
      <c r="O11" s="37"/>
      <c r="P11" s="37"/>
      <c r="Q11" s="37"/>
      <c r="R11" s="37"/>
      <c r="S11" s="280" t="s">
        <v>97</v>
      </c>
      <c r="T11" s="328"/>
      <c r="U11" s="329"/>
      <c r="AG11" s="2"/>
    </row>
    <row r="12" spans="1:41" ht="22.5" customHeight="1" x14ac:dyDescent="0.25">
      <c r="A12" s="55"/>
      <c r="B12" s="37" t="s">
        <v>33</v>
      </c>
      <c r="C12" s="330">
        <f>SPIELDATUM</f>
        <v>0</v>
      </c>
      <c r="D12" s="330"/>
      <c r="E12" s="330"/>
      <c r="F12" s="330"/>
      <c r="G12" s="330"/>
      <c r="H12" s="330"/>
      <c r="I12" s="199"/>
      <c r="J12" s="199"/>
      <c r="K12" s="67"/>
      <c r="L12" s="67"/>
      <c r="M12" s="37" t="s">
        <v>43</v>
      </c>
      <c r="N12" s="37">
        <f>SPNR</f>
        <v>0</v>
      </c>
      <c r="O12" s="336">
        <f>SPNR</f>
        <v>0</v>
      </c>
      <c r="P12" s="336"/>
      <c r="Q12" s="12"/>
      <c r="R12" s="12"/>
      <c r="S12" s="328"/>
      <c r="T12" s="328"/>
      <c r="U12" s="329"/>
      <c r="AG12" s="2"/>
    </row>
    <row r="13" spans="1:41" ht="4.5" customHeight="1" thickBot="1" x14ac:dyDescent="0.25">
      <c r="A13" s="64"/>
      <c r="B13" s="72"/>
      <c r="C13" s="72"/>
      <c r="D13" s="72"/>
      <c r="E13" s="72"/>
      <c r="F13" s="72"/>
      <c r="G13" s="72"/>
      <c r="H13" s="72"/>
      <c r="I13" s="72"/>
      <c r="J13" s="72"/>
      <c r="K13" s="72"/>
      <c r="L13" s="73"/>
      <c r="M13" s="73"/>
      <c r="N13" s="65"/>
      <c r="O13" s="65"/>
      <c r="P13" s="65"/>
      <c r="Q13" s="65"/>
      <c r="R13" s="65"/>
      <c r="S13" s="138"/>
      <c r="T13" s="138"/>
      <c r="U13" s="70"/>
      <c r="AG13" s="2"/>
    </row>
    <row r="14" spans="1:41" ht="10.5" customHeight="1" x14ac:dyDescent="0.2">
      <c r="A14" s="48"/>
      <c r="B14" s="66"/>
      <c r="C14" s="66"/>
      <c r="D14" s="66"/>
      <c r="E14" s="66"/>
      <c r="F14" s="66"/>
      <c r="G14" s="66"/>
      <c r="H14" s="66"/>
      <c r="I14" s="66"/>
      <c r="J14" s="84"/>
      <c r="K14" s="48"/>
      <c r="L14" s="66"/>
      <c r="M14" s="66"/>
      <c r="N14" s="66"/>
      <c r="O14" s="66"/>
      <c r="P14" s="66"/>
      <c r="Q14" s="66"/>
      <c r="R14" s="66"/>
      <c r="S14" s="66"/>
      <c r="T14" s="66"/>
      <c r="U14" s="84"/>
      <c r="AG14" s="2"/>
    </row>
    <row r="15" spans="1:41" ht="22.5" customHeight="1" x14ac:dyDescent="0.25">
      <c r="A15" s="55" t="s">
        <v>32</v>
      </c>
      <c r="B15" s="296" t="str">
        <f>IF(ISBLANK(GASTGEBER),"",GASTGEBER)</f>
        <v/>
      </c>
      <c r="C15" s="296"/>
      <c r="D15" s="296"/>
      <c r="E15" s="296"/>
      <c r="F15" s="296"/>
      <c r="G15" s="296"/>
      <c r="H15" s="296"/>
      <c r="I15" s="296"/>
      <c r="J15" s="297"/>
      <c r="K15" s="55" t="s">
        <v>34</v>
      </c>
      <c r="L15" s="296" t="str">
        <f>IF(ISBLANK(GAST_1),"",GAST_1)</f>
        <v/>
      </c>
      <c r="M15" s="296"/>
      <c r="N15" s="296"/>
      <c r="O15" s="296"/>
      <c r="P15" s="296"/>
      <c r="Q15" s="296"/>
      <c r="R15" s="296"/>
      <c r="S15" s="296"/>
      <c r="T15" s="296"/>
      <c r="U15" s="297"/>
      <c r="AG15" s="2"/>
    </row>
    <row r="16" spans="1:41" ht="4.5" customHeight="1" x14ac:dyDescent="0.2">
      <c r="A16" s="57"/>
      <c r="B16" s="40"/>
      <c r="C16" s="40"/>
      <c r="D16" s="40"/>
      <c r="E16" s="40"/>
      <c r="F16" s="40"/>
      <c r="G16" s="40"/>
      <c r="H16" s="40"/>
      <c r="I16" s="40"/>
      <c r="J16" s="58"/>
      <c r="K16" s="57"/>
      <c r="L16" s="40"/>
      <c r="M16" s="40"/>
      <c r="N16" s="40"/>
      <c r="O16" s="40"/>
      <c r="P16" s="40"/>
      <c r="Q16" s="40"/>
      <c r="R16" s="40"/>
      <c r="S16" s="40"/>
      <c r="T16" s="40"/>
      <c r="U16" s="58"/>
      <c r="AG16" s="2"/>
    </row>
    <row r="17" spans="1:33" ht="12" customHeight="1" x14ac:dyDescent="0.2">
      <c r="A17" s="85" t="s">
        <v>14</v>
      </c>
      <c r="B17" s="77" t="s">
        <v>13</v>
      </c>
      <c r="C17" s="77"/>
      <c r="D17" s="77"/>
      <c r="E17" s="77"/>
      <c r="F17" s="78"/>
      <c r="G17" s="83" t="s">
        <v>50</v>
      </c>
      <c r="H17" s="146" t="s">
        <v>54</v>
      </c>
      <c r="I17" s="146" t="s">
        <v>81</v>
      </c>
      <c r="J17" s="139" t="s">
        <v>12</v>
      </c>
      <c r="K17" s="85" t="s">
        <v>14</v>
      </c>
      <c r="L17" s="77" t="s">
        <v>13</v>
      </c>
      <c r="M17" s="77"/>
      <c r="N17" s="77"/>
      <c r="O17" s="77"/>
      <c r="P17" s="77"/>
      <c r="Q17" s="78"/>
      <c r="R17" s="83" t="s">
        <v>50</v>
      </c>
      <c r="S17" s="146" t="s">
        <v>54</v>
      </c>
      <c r="T17" s="146" t="s">
        <v>81</v>
      </c>
      <c r="U17" s="139" t="s">
        <v>12</v>
      </c>
      <c r="W17" s="143" t="s">
        <v>61</v>
      </c>
      <c r="X17" s="143" t="s">
        <v>52</v>
      </c>
      <c r="Y17" s="143" t="s">
        <v>51</v>
      </c>
      <c r="Z17" s="143" t="s">
        <v>57</v>
      </c>
      <c r="AA17" s="143" t="s">
        <v>57</v>
      </c>
      <c r="AB17" s="143" t="s">
        <v>51</v>
      </c>
      <c r="AC17" s="143" t="s">
        <v>52</v>
      </c>
      <c r="AD17" s="143" t="s">
        <v>61</v>
      </c>
      <c r="AG17" s="2"/>
    </row>
    <row r="18" spans="1:33" ht="22.5" customHeight="1" x14ac:dyDescent="0.2">
      <c r="A18" s="236" t="str">
        <f t="shared" ref="A18:A23" ca="1" si="0">IF(ISBLANK(INDIRECT(ADDRESS($W18,1,,,"SpB m Gassen"))),"",INDIRECT(ADDRESS($W18,1,,,"SpB m Gassen")))</f>
        <v/>
      </c>
      <c r="B18" s="289" t="str">
        <f t="shared" ref="B18:B23" ca="1" si="1">IF(ISBLANK(INDIRECT(ADDRESS($W18,2,,,"SpB m Gassen"))),"",INDIRECT(ADDRESS($W18,2,,,"SpB m Gassen")))</f>
        <v/>
      </c>
      <c r="C18" s="290" t="str">
        <f t="shared" ref="C18:F23" ca="1" si="2">IF(ISBLANK(INDIRECT(ADDRESS($W18,1,,,"SpB m Gassen"))),"",INDIRECT(ADDRESS($W18,1,,,"SpB m Gassen")))</f>
        <v/>
      </c>
      <c r="D18" s="290" t="str">
        <f t="shared" ca="1" si="2"/>
        <v/>
      </c>
      <c r="E18" s="290" t="str">
        <f t="shared" ca="1" si="2"/>
        <v/>
      </c>
      <c r="F18" s="291" t="str">
        <f t="shared" ca="1" si="2"/>
        <v/>
      </c>
      <c r="G18" s="160" t="str">
        <f t="shared" ref="G18:G23" ca="1" si="3">IF(J18&gt;0,INDIRECT(ADDRESS(ROW(),24)),"")</f>
        <v/>
      </c>
      <c r="H18" s="246" t="str">
        <f t="shared" ref="H18:H23" ca="1" si="4">IF(ISBLANK(INDIRECT(ADDRESS($W18,19,,,"SpB m Gassen"))),"",INDIRECT(ADDRESS($W18,19,,,"SpB m Gassen")))</f>
        <v/>
      </c>
      <c r="I18" s="246" t="str">
        <f t="shared" ref="I18:I23" ca="1" si="5">IF(ISBLANK(INDIRECT(ADDRESS($W18,20,,,"SpB m Gassen"))),"",INDIRECT(ADDRESS($W18,20,,,"SpB m Gassen")))</f>
        <v/>
      </c>
      <c r="J18" s="247" t="str">
        <f t="shared" ref="J18:J23" ca="1" si="6">IF(ISBLANK(INDIRECT(ADDRESS($W18,21,,,"SpB m Gassen"))),"",INDIRECT(ADDRESS($W18,21,,,"SpB m Gassen")))</f>
        <v/>
      </c>
      <c r="K18" s="236" t="str">
        <f t="shared" ref="K18:K23" ca="1" si="7">IF(ISBLANK(INDIRECT(ADDRESS($AD18,1,,,"SpB m Gassen"))),"",INDIRECT(ADDRESS($AD18,1,,,"SpB m Gassen")))</f>
        <v/>
      </c>
      <c r="L18" s="289" t="str">
        <f t="shared" ref="L18:L23" ca="1" si="8">IF(ISBLANK(INDIRECT(ADDRESS($AD18,2,,,"SpB m Gassen"))),"",INDIRECT(ADDRESS($AD18,2,,,"SpB m Gassen")))</f>
        <v/>
      </c>
      <c r="M18" s="290" t="str">
        <f t="shared" ref="M18:M23" ca="1" si="9">IF(ISBLANK(INDIRECT(ADDRESS($AD18,1,,,"SpB m Gassen"))),"",INDIRECT(ADDRESS($AD18,1,,,"SpB m Gassen")))</f>
        <v/>
      </c>
      <c r="N18" s="290"/>
      <c r="O18" s="290" t="str">
        <f t="shared" ref="O18:Q23" ca="1" si="10">IF(ISBLANK(INDIRECT(ADDRESS($AD18,1,,,"SpB m Gassen"))),"",INDIRECT(ADDRESS($AD18,1,,,"SpB m Gassen")))</f>
        <v/>
      </c>
      <c r="P18" s="290" t="str">
        <f t="shared" ca="1" si="10"/>
        <v/>
      </c>
      <c r="Q18" s="291" t="str">
        <f t="shared" ca="1" si="10"/>
        <v/>
      </c>
      <c r="R18" s="160" t="str">
        <f t="shared" ref="R18:R23" ca="1" si="11">IF(U18&gt;0,INDIRECT(ADDRESS(ROW(),29)),"")</f>
        <v/>
      </c>
      <c r="S18" s="246" t="str">
        <f t="shared" ref="S18:S23" ca="1" si="12">IF(ISBLANK(INDIRECT(ADDRESS($AD18,19,,,"SpB m Gassen"))),"",INDIRECT(ADDRESS($AD18,19,,,"SpB m Gassen")))</f>
        <v/>
      </c>
      <c r="T18" s="246" t="str">
        <f t="shared" ref="T18:T23" ca="1" si="13">IF(ISBLANK(INDIRECT(ADDRESS($AD18,20,,,"SpB m Gassen"))),"",INDIRECT(ADDRESS($AD18,20,,,"SpB m Gassen")))</f>
        <v/>
      </c>
      <c r="U18" s="247" t="str">
        <f t="shared" ref="U18:U23" ca="1" si="14">IF(ISBLANK(INDIRECT(ADDRESS($AD18,21,,,"SpB m Gassen"))),"",INDIRECT(ADDRESS($AD18,21,,,"SpB m Gassen")))</f>
        <v/>
      </c>
      <c r="W18" s="12">
        <v>19</v>
      </c>
      <c r="X18" s="143" t="str">
        <f t="shared" ref="X18:X23" ca="1" si="15">IF(ISNUMBER(Z18),25-RANK($Z18,$Z$18:$AA$38,0),"")</f>
        <v/>
      </c>
      <c r="Y18" s="143" t="str">
        <f t="shared" ref="Y18:Y23" si="16">ADDRESS(ROW(),10)</f>
        <v>$J$18</v>
      </c>
      <c r="Z18" s="184" t="str">
        <f t="shared" ref="Z18:Z23" ca="1" si="17">INDIRECT(Y18)</f>
        <v/>
      </c>
      <c r="AA18" s="184" t="str">
        <f t="shared" ref="AA18:AA23" ca="1" si="18">INDIRECT(AB18)</f>
        <v/>
      </c>
      <c r="AB18" s="143" t="str">
        <f t="shared" ref="AB18:AB23" si="19">ADDRESS(ROW(),21)</f>
        <v>$U$18</v>
      </c>
      <c r="AC18" s="143" t="str">
        <f t="shared" ref="AC18:AC23" ca="1" si="20">IF(ISNUMBER(AA18),25-RANK($AA18,$Z$18:$AA$38,0),"")</f>
        <v/>
      </c>
      <c r="AD18" s="143">
        <f t="shared" ref="AD18:AD23" si="21">W18+13</f>
        <v>32</v>
      </c>
      <c r="AE18" s="1"/>
      <c r="AF18" s="185"/>
      <c r="AG18" s="2"/>
    </row>
    <row r="19" spans="1:33" ht="22.5" customHeight="1" x14ac:dyDescent="0.2">
      <c r="A19" s="236" t="str">
        <f t="shared" ca="1" si="0"/>
        <v/>
      </c>
      <c r="B19" s="289" t="str">
        <f t="shared" ca="1" si="1"/>
        <v/>
      </c>
      <c r="C19" s="290" t="str">
        <f t="shared" ca="1" si="2"/>
        <v/>
      </c>
      <c r="D19" s="290" t="str">
        <f t="shared" ca="1" si="2"/>
        <v/>
      </c>
      <c r="E19" s="290" t="str">
        <f t="shared" ca="1" si="2"/>
        <v/>
      </c>
      <c r="F19" s="291" t="str">
        <f t="shared" ca="1" si="2"/>
        <v/>
      </c>
      <c r="G19" s="160" t="str">
        <f t="shared" ca="1" si="3"/>
        <v/>
      </c>
      <c r="H19" s="246" t="str">
        <f t="shared" ca="1" si="4"/>
        <v/>
      </c>
      <c r="I19" s="246" t="str">
        <f t="shared" ca="1" si="5"/>
        <v/>
      </c>
      <c r="J19" s="247" t="str">
        <f t="shared" ca="1" si="6"/>
        <v/>
      </c>
      <c r="K19" s="236" t="str">
        <f t="shared" ca="1" si="7"/>
        <v/>
      </c>
      <c r="L19" s="289" t="str">
        <f t="shared" ca="1" si="8"/>
        <v/>
      </c>
      <c r="M19" s="290" t="str">
        <f t="shared" ca="1" si="9"/>
        <v/>
      </c>
      <c r="N19" s="290"/>
      <c r="O19" s="290" t="str">
        <f t="shared" ca="1" si="10"/>
        <v/>
      </c>
      <c r="P19" s="290" t="str">
        <f t="shared" ca="1" si="10"/>
        <v/>
      </c>
      <c r="Q19" s="291" t="str">
        <f t="shared" ca="1" si="10"/>
        <v/>
      </c>
      <c r="R19" s="160" t="str">
        <f t="shared" ca="1" si="11"/>
        <v/>
      </c>
      <c r="S19" s="246" t="str">
        <f t="shared" ca="1" si="12"/>
        <v/>
      </c>
      <c r="T19" s="246" t="str">
        <f t="shared" ca="1" si="13"/>
        <v/>
      </c>
      <c r="U19" s="247" t="str">
        <f t="shared" ca="1" si="14"/>
        <v/>
      </c>
      <c r="W19" s="143">
        <f>W18+1</f>
        <v>20</v>
      </c>
      <c r="X19" s="143" t="str">
        <f t="shared" ca="1" si="15"/>
        <v/>
      </c>
      <c r="Y19" s="143" t="str">
        <f t="shared" si="16"/>
        <v>$J$19</v>
      </c>
      <c r="Z19" s="184" t="str">
        <f t="shared" ca="1" si="17"/>
        <v/>
      </c>
      <c r="AA19" s="184" t="str">
        <f t="shared" ca="1" si="18"/>
        <v/>
      </c>
      <c r="AB19" s="143" t="str">
        <f t="shared" si="19"/>
        <v>$U$19</v>
      </c>
      <c r="AC19" s="143" t="str">
        <f t="shared" ca="1" si="20"/>
        <v/>
      </c>
      <c r="AD19" s="143">
        <f t="shared" si="21"/>
        <v>33</v>
      </c>
      <c r="AE19" s="1"/>
      <c r="AF19" s="185"/>
      <c r="AG19" s="2"/>
    </row>
    <row r="20" spans="1:33" ht="22.5" customHeight="1" x14ac:dyDescent="0.2">
      <c r="A20" s="236" t="str">
        <f t="shared" ca="1" si="0"/>
        <v/>
      </c>
      <c r="B20" s="289" t="str">
        <f t="shared" ca="1" si="1"/>
        <v/>
      </c>
      <c r="C20" s="290" t="str">
        <f t="shared" ca="1" si="2"/>
        <v/>
      </c>
      <c r="D20" s="290" t="str">
        <f t="shared" ca="1" si="2"/>
        <v/>
      </c>
      <c r="E20" s="290" t="str">
        <f t="shared" ca="1" si="2"/>
        <v/>
      </c>
      <c r="F20" s="291" t="str">
        <f t="shared" ca="1" si="2"/>
        <v/>
      </c>
      <c r="G20" s="160" t="str">
        <f t="shared" ca="1" si="3"/>
        <v/>
      </c>
      <c r="H20" s="246" t="str">
        <f t="shared" ca="1" si="4"/>
        <v/>
      </c>
      <c r="I20" s="246" t="str">
        <f t="shared" ca="1" si="5"/>
        <v/>
      </c>
      <c r="J20" s="247" t="str">
        <f t="shared" ca="1" si="6"/>
        <v/>
      </c>
      <c r="K20" s="236" t="str">
        <f t="shared" ca="1" si="7"/>
        <v/>
      </c>
      <c r="L20" s="289" t="str">
        <f t="shared" ca="1" si="8"/>
        <v/>
      </c>
      <c r="M20" s="290" t="str">
        <f t="shared" ca="1" si="9"/>
        <v/>
      </c>
      <c r="N20" s="290"/>
      <c r="O20" s="290" t="str">
        <f t="shared" ca="1" si="10"/>
        <v/>
      </c>
      <c r="P20" s="290" t="str">
        <f t="shared" ca="1" si="10"/>
        <v/>
      </c>
      <c r="Q20" s="291" t="str">
        <f t="shared" ca="1" si="10"/>
        <v/>
      </c>
      <c r="R20" s="160" t="str">
        <f t="shared" ca="1" si="11"/>
        <v/>
      </c>
      <c r="S20" s="246" t="str">
        <f t="shared" ca="1" si="12"/>
        <v/>
      </c>
      <c r="T20" s="246" t="str">
        <f t="shared" ca="1" si="13"/>
        <v/>
      </c>
      <c r="U20" s="247" t="str">
        <f t="shared" ca="1" si="14"/>
        <v/>
      </c>
      <c r="W20" s="143">
        <f>W19+1</f>
        <v>21</v>
      </c>
      <c r="X20" s="143" t="str">
        <f t="shared" ca="1" si="15"/>
        <v/>
      </c>
      <c r="Y20" s="143" t="str">
        <f t="shared" si="16"/>
        <v>$J$20</v>
      </c>
      <c r="Z20" s="184" t="str">
        <f t="shared" ca="1" si="17"/>
        <v/>
      </c>
      <c r="AA20" s="184" t="str">
        <f t="shared" ca="1" si="18"/>
        <v/>
      </c>
      <c r="AB20" s="143" t="str">
        <f t="shared" si="19"/>
        <v>$U$20</v>
      </c>
      <c r="AC20" s="143" t="str">
        <f t="shared" ca="1" si="20"/>
        <v/>
      </c>
      <c r="AD20" s="143">
        <f t="shared" si="21"/>
        <v>34</v>
      </c>
      <c r="AE20" s="1"/>
      <c r="AF20" s="185"/>
      <c r="AG20" s="2"/>
    </row>
    <row r="21" spans="1:33" ht="22.5" customHeight="1" x14ac:dyDescent="0.2">
      <c r="A21" s="236" t="str">
        <f t="shared" ca="1" si="0"/>
        <v/>
      </c>
      <c r="B21" s="289" t="str">
        <f t="shared" ca="1" si="1"/>
        <v/>
      </c>
      <c r="C21" s="290" t="str">
        <f t="shared" ca="1" si="2"/>
        <v/>
      </c>
      <c r="D21" s="290" t="str">
        <f t="shared" ca="1" si="2"/>
        <v/>
      </c>
      <c r="E21" s="290" t="str">
        <f t="shared" ca="1" si="2"/>
        <v/>
      </c>
      <c r="F21" s="291" t="str">
        <f t="shared" ca="1" si="2"/>
        <v/>
      </c>
      <c r="G21" s="160" t="str">
        <f t="shared" ca="1" si="3"/>
        <v/>
      </c>
      <c r="H21" s="246" t="str">
        <f t="shared" ca="1" si="4"/>
        <v/>
      </c>
      <c r="I21" s="246" t="str">
        <f t="shared" ca="1" si="5"/>
        <v/>
      </c>
      <c r="J21" s="247" t="str">
        <f t="shared" ca="1" si="6"/>
        <v/>
      </c>
      <c r="K21" s="236" t="str">
        <f t="shared" ca="1" si="7"/>
        <v/>
      </c>
      <c r="L21" s="289" t="str">
        <f t="shared" ca="1" si="8"/>
        <v/>
      </c>
      <c r="M21" s="290" t="str">
        <f t="shared" ca="1" si="9"/>
        <v/>
      </c>
      <c r="N21" s="290"/>
      <c r="O21" s="290" t="str">
        <f t="shared" ca="1" si="10"/>
        <v/>
      </c>
      <c r="P21" s="290" t="str">
        <f t="shared" ca="1" si="10"/>
        <v/>
      </c>
      <c r="Q21" s="291" t="str">
        <f t="shared" ca="1" si="10"/>
        <v/>
      </c>
      <c r="R21" s="160" t="str">
        <f t="shared" ca="1" si="11"/>
        <v/>
      </c>
      <c r="S21" s="246" t="str">
        <f t="shared" ca="1" si="12"/>
        <v/>
      </c>
      <c r="T21" s="246" t="str">
        <f t="shared" ca="1" si="13"/>
        <v/>
      </c>
      <c r="U21" s="247" t="str">
        <f t="shared" ca="1" si="14"/>
        <v/>
      </c>
      <c r="W21" s="143">
        <f>W20+1</f>
        <v>22</v>
      </c>
      <c r="X21" s="143" t="str">
        <f t="shared" ca="1" si="15"/>
        <v/>
      </c>
      <c r="Y21" s="143" t="str">
        <f t="shared" si="16"/>
        <v>$J$21</v>
      </c>
      <c r="Z21" s="184" t="str">
        <f t="shared" ca="1" si="17"/>
        <v/>
      </c>
      <c r="AA21" s="184" t="str">
        <f t="shared" ca="1" si="18"/>
        <v/>
      </c>
      <c r="AB21" s="143" t="str">
        <f t="shared" si="19"/>
        <v>$U$21</v>
      </c>
      <c r="AC21" s="143" t="str">
        <f t="shared" ca="1" si="20"/>
        <v/>
      </c>
      <c r="AD21" s="143">
        <f t="shared" si="21"/>
        <v>35</v>
      </c>
      <c r="AE21" s="1"/>
      <c r="AF21" s="185"/>
      <c r="AG21" s="2"/>
    </row>
    <row r="22" spans="1:33" ht="22.5" customHeight="1" x14ac:dyDescent="0.2">
      <c r="A22" s="236" t="str">
        <f t="shared" ca="1" si="0"/>
        <v/>
      </c>
      <c r="B22" s="289" t="str">
        <f t="shared" ca="1" si="1"/>
        <v/>
      </c>
      <c r="C22" s="290" t="str">
        <f t="shared" ca="1" si="2"/>
        <v/>
      </c>
      <c r="D22" s="290" t="str">
        <f t="shared" ca="1" si="2"/>
        <v/>
      </c>
      <c r="E22" s="290" t="str">
        <f t="shared" ca="1" si="2"/>
        <v/>
      </c>
      <c r="F22" s="291" t="str">
        <f t="shared" ca="1" si="2"/>
        <v/>
      </c>
      <c r="G22" s="160" t="str">
        <f t="shared" ca="1" si="3"/>
        <v/>
      </c>
      <c r="H22" s="246" t="str">
        <f t="shared" ca="1" si="4"/>
        <v/>
      </c>
      <c r="I22" s="246" t="str">
        <f t="shared" ca="1" si="5"/>
        <v/>
      </c>
      <c r="J22" s="247" t="str">
        <f t="shared" ca="1" si="6"/>
        <v/>
      </c>
      <c r="K22" s="236" t="str">
        <f t="shared" ca="1" si="7"/>
        <v/>
      </c>
      <c r="L22" s="289" t="str">
        <f t="shared" ca="1" si="8"/>
        <v/>
      </c>
      <c r="M22" s="290" t="str">
        <f t="shared" ca="1" si="9"/>
        <v/>
      </c>
      <c r="N22" s="290"/>
      <c r="O22" s="290" t="str">
        <f t="shared" ca="1" si="10"/>
        <v/>
      </c>
      <c r="P22" s="290" t="str">
        <f t="shared" ca="1" si="10"/>
        <v/>
      </c>
      <c r="Q22" s="291" t="str">
        <f t="shared" ca="1" si="10"/>
        <v/>
      </c>
      <c r="R22" s="160" t="str">
        <f t="shared" ca="1" si="11"/>
        <v/>
      </c>
      <c r="S22" s="246" t="str">
        <f t="shared" ca="1" si="12"/>
        <v/>
      </c>
      <c r="T22" s="246" t="str">
        <f t="shared" ca="1" si="13"/>
        <v/>
      </c>
      <c r="U22" s="247" t="str">
        <f t="shared" ca="1" si="14"/>
        <v/>
      </c>
      <c r="W22" s="143">
        <f>W21+1</f>
        <v>23</v>
      </c>
      <c r="X22" s="143" t="str">
        <f t="shared" ca="1" si="15"/>
        <v/>
      </c>
      <c r="Y22" s="143" t="str">
        <f t="shared" si="16"/>
        <v>$J$22</v>
      </c>
      <c r="Z22" s="184" t="str">
        <f t="shared" ca="1" si="17"/>
        <v/>
      </c>
      <c r="AA22" s="184" t="str">
        <f t="shared" ca="1" si="18"/>
        <v/>
      </c>
      <c r="AB22" s="143" t="str">
        <f t="shared" si="19"/>
        <v>$U$22</v>
      </c>
      <c r="AC22" s="143" t="str">
        <f t="shared" ca="1" si="20"/>
        <v/>
      </c>
      <c r="AD22" s="143">
        <f t="shared" si="21"/>
        <v>36</v>
      </c>
      <c r="AE22" s="1"/>
      <c r="AF22" s="185"/>
      <c r="AG22" s="2"/>
    </row>
    <row r="23" spans="1:33" ht="22.5" customHeight="1" x14ac:dyDescent="0.2">
      <c r="A23" s="237" t="str">
        <f t="shared" ca="1" si="0"/>
        <v/>
      </c>
      <c r="B23" s="298" t="str">
        <f t="shared" ca="1" si="1"/>
        <v/>
      </c>
      <c r="C23" s="299" t="str">
        <f t="shared" ca="1" si="2"/>
        <v/>
      </c>
      <c r="D23" s="299" t="str">
        <f t="shared" ca="1" si="2"/>
        <v/>
      </c>
      <c r="E23" s="299" t="str">
        <f t="shared" ca="1" si="2"/>
        <v/>
      </c>
      <c r="F23" s="300" t="str">
        <f t="shared" ca="1" si="2"/>
        <v/>
      </c>
      <c r="G23" s="172" t="str">
        <f t="shared" ca="1" si="3"/>
        <v/>
      </c>
      <c r="H23" s="248" t="str">
        <f t="shared" ca="1" si="4"/>
        <v/>
      </c>
      <c r="I23" s="248" t="str">
        <f t="shared" ca="1" si="5"/>
        <v/>
      </c>
      <c r="J23" s="249" t="str">
        <f t="shared" ca="1" si="6"/>
        <v/>
      </c>
      <c r="K23" s="237" t="str">
        <f t="shared" ca="1" si="7"/>
        <v/>
      </c>
      <c r="L23" s="298" t="str">
        <f t="shared" ca="1" si="8"/>
        <v/>
      </c>
      <c r="M23" s="299" t="str">
        <f t="shared" ca="1" si="9"/>
        <v/>
      </c>
      <c r="N23" s="299"/>
      <c r="O23" s="299" t="str">
        <f t="shared" ca="1" si="10"/>
        <v/>
      </c>
      <c r="P23" s="299" t="str">
        <f t="shared" ca="1" si="10"/>
        <v/>
      </c>
      <c r="Q23" s="300" t="str">
        <f t="shared" ca="1" si="10"/>
        <v/>
      </c>
      <c r="R23" s="172" t="str">
        <f t="shared" ca="1" si="11"/>
        <v/>
      </c>
      <c r="S23" s="248" t="str">
        <f t="shared" ca="1" si="12"/>
        <v/>
      </c>
      <c r="T23" s="248" t="str">
        <f t="shared" ca="1" si="13"/>
        <v/>
      </c>
      <c r="U23" s="249" t="str">
        <f t="shared" ca="1" si="14"/>
        <v/>
      </c>
      <c r="W23" s="143">
        <f>W22+1</f>
        <v>24</v>
      </c>
      <c r="X23" s="143" t="str">
        <f t="shared" ca="1" si="15"/>
        <v/>
      </c>
      <c r="Y23" s="143" t="str">
        <f t="shared" si="16"/>
        <v>$J$23</v>
      </c>
      <c r="Z23" s="184" t="str">
        <f t="shared" ca="1" si="17"/>
        <v/>
      </c>
      <c r="AA23" s="184" t="str">
        <f t="shared" ca="1" si="18"/>
        <v/>
      </c>
      <c r="AB23" s="143" t="str">
        <f t="shared" si="19"/>
        <v>$U$23</v>
      </c>
      <c r="AC23" s="143" t="str">
        <f t="shared" ca="1" si="20"/>
        <v/>
      </c>
      <c r="AD23" s="143">
        <f t="shared" si="21"/>
        <v>37</v>
      </c>
      <c r="AG23" s="2"/>
    </row>
    <row r="24" spans="1:33" ht="22.5" customHeight="1" x14ac:dyDescent="0.25">
      <c r="A24" s="86"/>
      <c r="B24" s="79" t="s">
        <v>71</v>
      </c>
      <c r="C24" s="47">
        <f ca="1">IF(ISERROR(AF24),"",IF(AF24&gt;0,RANK(AF24,$AF$24:$AF$40,TRUE),0))</f>
        <v>0</v>
      </c>
      <c r="D24" s="80"/>
      <c r="E24" s="81"/>
      <c r="F24" s="82"/>
      <c r="G24" s="170" t="str">
        <f ca="1">IF(COUNT(G18:G23)&gt;0,SUM(G18:G23),"")</f>
        <v/>
      </c>
      <c r="H24" s="176" t="str">
        <f ca="1">IF(COUNT(H18:H23)&gt;0,SUM(H18:H23),"")</f>
        <v/>
      </c>
      <c r="I24" s="176" t="str">
        <f ca="1">IF(COUNT(I18:I23)&gt;0,SUM(I18:I23),"")</f>
        <v/>
      </c>
      <c r="J24" s="171" t="str">
        <f ca="1">IF(COUNT(J18:J23)&gt;0,ROUNDDOWN(SUM(J18:J23),0),"")</f>
        <v/>
      </c>
      <c r="K24" s="86"/>
      <c r="L24" s="79" t="s">
        <v>10</v>
      </c>
      <c r="M24" s="47">
        <f ca="1">IF(ISERROR(AF25),"",IF(AF25&gt;0,RANK(AF25,$AF$24:$AF$40,TRUE),0))</f>
        <v>0</v>
      </c>
      <c r="N24" s="81"/>
      <c r="O24" s="81"/>
      <c r="P24" s="80"/>
      <c r="Q24" s="82"/>
      <c r="R24" s="170" t="str">
        <f ca="1">IF(COUNT(R18:R23)&gt;0,SUM(R18:R23),"")</f>
        <v/>
      </c>
      <c r="S24" s="176" t="str">
        <f ca="1">IF(COUNT(S18:S23)&gt;0,SUM(S18:S23),"")</f>
        <v/>
      </c>
      <c r="T24" s="176" t="str">
        <f ca="1">IF(COUNT(T18:T23)&gt;0,SUM(T18:T23),"")</f>
        <v/>
      </c>
      <c r="U24" s="171" t="str">
        <f ca="1">IF(COUNT(U18:U23)&gt;0,ROUNDDOWN(SUM(U18:U23),0),"")</f>
        <v/>
      </c>
      <c r="Z24" s="145"/>
      <c r="AA24" s="183"/>
      <c r="AC24" s="143" t="str">
        <f>ADDRESS(24,8)</f>
        <v>$H$24</v>
      </c>
      <c r="AD24" s="143" t="str">
        <f>ADDRESS(24,9)</f>
        <v>$I$24</v>
      </c>
      <c r="AE24" s="143" t="str">
        <f>ADDRESS(24,10)</f>
        <v>$J$24</v>
      </c>
      <c r="AF24" s="184">
        <f ca="1">IF(ISNUMBER(INDIRECT(AE24)),INDIRECT(AE24)+(INDIRECT(AC24)/10000)+IF(ISNUMBER(INDIRECT(AD24)),INDIRECT(AD24)/10000000,0),0)</f>
        <v>0</v>
      </c>
      <c r="AG24" s="2">
        <f ca="1">IF(ISNUMBER(AF24),5-RANK($AF24,$AF$24:$AF$40,0),"")</f>
        <v>4</v>
      </c>
    </row>
    <row r="25" spans="1:33" ht="9" customHeight="1" x14ac:dyDescent="0.2">
      <c r="A25" s="53"/>
      <c r="B25" s="9"/>
      <c r="C25" s="9"/>
      <c r="D25" s="9"/>
      <c r="E25" s="14"/>
      <c r="F25" s="14"/>
      <c r="G25" s="14"/>
      <c r="H25" s="14"/>
      <c r="I25" s="14"/>
      <c r="J25" s="59"/>
      <c r="K25" s="53"/>
      <c r="L25" s="9"/>
      <c r="M25" s="9"/>
      <c r="N25" s="14"/>
      <c r="O25" s="14"/>
      <c r="P25" s="9"/>
      <c r="Q25" s="14"/>
      <c r="R25" s="14"/>
      <c r="S25" s="14"/>
      <c r="T25" s="14"/>
      <c r="U25" s="59"/>
      <c r="Z25" s="145"/>
      <c r="AA25" s="145"/>
      <c r="AC25" s="143" t="str">
        <f>ADDRESS(24,19)</f>
        <v>$S$24</v>
      </c>
      <c r="AD25" s="143" t="str">
        <f>ADDRESS(24,20)</f>
        <v>$T$24</v>
      </c>
      <c r="AE25" s="143" t="str">
        <f>ADDRESS(24,21)</f>
        <v>$U$24</v>
      </c>
      <c r="AF25" s="184">
        <f ca="1">IF(ISNUMBER(INDIRECT(AE25)),INDIRECT(AE25)+(INDIRECT(AC25)/10000)+IF(ISNUMBER(INDIRECT(AD25)),INDIRECT(AD25)/10000000,0),0)</f>
        <v>0</v>
      </c>
      <c r="AG25" s="2">
        <f ca="1">IF(ISNUMBER(AF25),5-RANK($AF25,$AF$24:$AF$40,0),"")</f>
        <v>4</v>
      </c>
    </row>
    <row r="26" spans="1:33" ht="22.5" customHeight="1" x14ac:dyDescent="0.2">
      <c r="A26" s="292"/>
      <c r="B26" s="293"/>
      <c r="C26" s="293"/>
      <c r="D26" s="293"/>
      <c r="E26" s="293"/>
      <c r="F26" s="293"/>
      <c r="G26" s="12"/>
      <c r="H26" s="14"/>
      <c r="I26" s="14"/>
      <c r="J26" s="59"/>
      <c r="K26" s="292"/>
      <c r="L26" s="293"/>
      <c r="M26" s="293"/>
      <c r="N26" s="293"/>
      <c r="O26" s="293"/>
      <c r="P26" s="293"/>
      <c r="Q26" s="293"/>
      <c r="R26" s="12"/>
      <c r="S26" s="14"/>
      <c r="T26" s="14"/>
      <c r="U26" s="59"/>
      <c r="Z26" s="145"/>
      <c r="AA26" s="145"/>
      <c r="AG26" s="2"/>
    </row>
    <row r="27" spans="1:33" ht="10.5" customHeight="1" x14ac:dyDescent="0.2">
      <c r="A27" s="294" t="s">
        <v>35</v>
      </c>
      <c r="B27" s="295"/>
      <c r="C27" s="295"/>
      <c r="D27" s="295"/>
      <c r="E27" s="295"/>
      <c r="F27" s="295"/>
      <c r="G27" s="12"/>
      <c r="H27" s="8"/>
      <c r="I27" s="8"/>
      <c r="J27" s="87"/>
      <c r="K27" s="294" t="s">
        <v>35</v>
      </c>
      <c r="L27" s="295"/>
      <c r="M27" s="295"/>
      <c r="N27" s="295"/>
      <c r="O27" s="295"/>
      <c r="P27" s="295"/>
      <c r="Q27" s="295"/>
      <c r="R27" s="12"/>
      <c r="S27" s="8"/>
      <c r="T27" s="8"/>
      <c r="U27" s="87"/>
      <c r="Z27" s="145"/>
      <c r="AA27" s="145"/>
      <c r="AG27" s="2"/>
    </row>
    <row r="28" spans="1:33" ht="9" customHeight="1" thickBot="1" x14ac:dyDescent="0.25">
      <c r="A28" s="60"/>
      <c r="B28" s="61"/>
      <c r="C28" s="61"/>
      <c r="D28" s="61"/>
      <c r="E28" s="61"/>
      <c r="F28" s="62"/>
      <c r="G28" s="62"/>
      <c r="H28" s="62"/>
      <c r="I28" s="62"/>
      <c r="J28" s="63"/>
      <c r="K28" s="60"/>
      <c r="L28" s="61"/>
      <c r="M28" s="61"/>
      <c r="N28" s="61"/>
      <c r="O28" s="61"/>
      <c r="P28" s="61"/>
      <c r="Q28" s="62"/>
      <c r="R28" s="62"/>
      <c r="S28" s="62"/>
      <c r="T28" s="62"/>
      <c r="U28" s="63"/>
      <c r="Z28" s="145"/>
      <c r="AA28" s="145"/>
      <c r="AE28" s="1"/>
      <c r="AF28" s="185"/>
      <c r="AG28" s="2"/>
    </row>
    <row r="29" spans="1:33" ht="10.5" customHeight="1" x14ac:dyDescent="0.2">
      <c r="A29" s="48"/>
      <c r="B29" s="66"/>
      <c r="C29" s="66"/>
      <c r="D29" s="66"/>
      <c r="E29" s="66"/>
      <c r="F29" s="66"/>
      <c r="G29" s="66"/>
      <c r="H29" s="66"/>
      <c r="I29" s="66"/>
      <c r="J29" s="84"/>
      <c r="K29" s="48"/>
      <c r="L29" s="66"/>
      <c r="M29" s="66"/>
      <c r="N29" s="66"/>
      <c r="O29" s="66"/>
      <c r="P29" s="66"/>
      <c r="Q29" s="66"/>
      <c r="R29" s="66"/>
      <c r="S29" s="66"/>
      <c r="T29" s="66"/>
      <c r="U29" s="84"/>
      <c r="Z29" s="145"/>
      <c r="AA29" s="145"/>
      <c r="AG29" s="2"/>
    </row>
    <row r="30" spans="1:33" ht="22.5" customHeight="1" x14ac:dyDescent="0.25">
      <c r="A30" s="55" t="s">
        <v>34</v>
      </c>
      <c r="B30" s="296" t="str">
        <f>IF(ISBLANK(GAST_2),"",GAST_2)</f>
        <v/>
      </c>
      <c r="C30" s="296"/>
      <c r="D30" s="296"/>
      <c r="E30" s="296"/>
      <c r="F30" s="296"/>
      <c r="G30" s="296"/>
      <c r="H30" s="296"/>
      <c r="I30" s="296"/>
      <c r="J30" s="297"/>
      <c r="K30" s="55" t="s">
        <v>34</v>
      </c>
      <c r="L30" s="296" t="str">
        <f>IF(ISBLANK(GAST_3),"",GAST_3)</f>
        <v/>
      </c>
      <c r="M30" s="296"/>
      <c r="N30" s="296"/>
      <c r="O30" s="296"/>
      <c r="P30" s="296"/>
      <c r="Q30" s="296"/>
      <c r="R30" s="296"/>
      <c r="S30" s="296"/>
      <c r="T30" s="296"/>
      <c r="U30" s="297"/>
      <c r="Z30" s="145"/>
      <c r="AA30" s="145"/>
      <c r="AG30" s="2"/>
    </row>
    <row r="31" spans="1:33" ht="4.5" customHeight="1" x14ac:dyDescent="0.2">
      <c r="A31" s="57"/>
      <c r="B31" s="40"/>
      <c r="C31" s="40"/>
      <c r="D31" s="40"/>
      <c r="E31" s="40"/>
      <c r="F31" s="40"/>
      <c r="G31" s="40"/>
      <c r="H31" s="40"/>
      <c r="I31" s="40"/>
      <c r="J31" s="58"/>
      <c r="K31" s="57"/>
      <c r="L31" s="40"/>
      <c r="M31" s="40"/>
      <c r="N31" s="40"/>
      <c r="O31" s="40"/>
      <c r="P31" s="40"/>
      <c r="Q31" s="40"/>
      <c r="R31" s="40"/>
      <c r="S31" s="40"/>
      <c r="T31" s="40"/>
      <c r="U31" s="58"/>
      <c r="AG31" s="2"/>
    </row>
    <row r="32" spans="1:33" ht="12" customHeight="1" x14ac:dyDescent="0.2">
      <c r="A32" s="85" t="s">
        <v>14</v>
      </c>
      <c r="B32" s="77" t="s">
        <v>13</v>
      </c>
      <c r="C32" s="77"/>
      <c r="D32" s="77"/>
      <c r="E32" s="77"/>
      <c r="F32" s="78"/>
      <c r="G32" s="83" t="s">
        <v>50</v>
      </c>
      <c r="H32" s="146" t="s">
        <v>54</v>
      </c>
      <c r="I32" s="146" t="s">
        <v>81</v>
      </c>
      <c r="J32" s="139" t="s">
        <v>12</v>
      </c>
      <c r="K32" s="85" t="s">
        <v>14</v>
      </c>
      <c r="L32" s="77" t="s">
        <v>13</v>
      </c>
      <c r="M32" s="77"/>
      <c r="N32" s="77"/>
      <c r="O32" s="77"/>
      <c r="P32" s="77"/>
      <c r="Q32" s="78"/>
      <c r="R32" s="83" t="s">
        <v>50</v>
      </c>
      <c r="S32" s="146" t="s">
        <v>54</v>
      </c>
      <c r="T32" s="146" t="s">
        <v>81</v>
      </c>
      <c r="U32" s="139" t="s">
        <v>12</v>
      </c>
      <c r="W32" s="143" t="s">
        <v>61</v>
      </c>
      <c r="X32" s="143" t="s">
        <v>52</v>
      </c>
      <c r="Y32" s="143" t="s">
        <v>51</v>
      </c>
      <c r="Z32" s="143" t="s">
        <v>57</v>
      </c>
      <c r="AA32" s="143" t="s">
        <v>57</v>
      </c>
      <c r="AB32" s="143" t="s">
        <v>51</v>
      </c>
      <c r="AC32" s="143" t="s">
        <v>52</v>
      </c>
      <c r="AD32" s="143" t="s">
        <v>61</v>
      </c>
      <c r="AG32" s="2"/>
    </row>
    <row r="33" spans="1:33" ht="22.5" customHeight="1" x14ac:dyDescent="0.2">
      <c r="A33" s="236" t="str">
        <f t="shared" ref="A33:A38" ca="1" si="22">IF(ISBLANK(INDIRECT(ADDRESS($W33,1,,,"SpB m Gassen"))),"",INDIRECT(ADDRESS($W33,1,,,"SpB m Gassen")))</f>
        <v/>
      </c>
      <c r="B33" s="289" t="str">
        <f t="shared" ref="B33:B38" ca="1" si="23">IF(ISBLANK(INDIRECT(ADDRESS($W33,2,,,"SpB m Gassen"))),"",INDIRECT(ADDRESS($W33,2,,,"SpB m Gassen")))</f>
        <v/>
      </c>
      <c r="C33" s="290" t="str">
        <f t="shared" ref="C33:F38" ca="1" si="24">IF(ISBLANK(INDIRECT(ADDRESS($W33,1,,,"SpB m Gassen"))),"",INDIRECT(ADDRESS($W33,1,,,"SpB m Gassen")))</f>
        <v/>
      </c>
      <c r="D33" s="290" t="str">
        <f t="shared" ca="1" si="24"/>
        <v/>
      </c>
      <c r="E33" s="290" t="str">
        <f t="shared" ca="1" si="24"/>
        <v/>
      </c>
      <c r="F33" s="291" t="str">
        <f t="shared" ca="1" si="24"/>
        <v/>
      </c>
      <c r="G33" s="160" t="str">
        <f t="shared" ref="G33:G38" ca="1" si="25">IF(J33&gt;0,INDIRECT(ADDRESS(ROW(),24)),"")</f>
        <v/>
      </c>
      <c r="H33" s="246" t="str">
        <f t="shared" ref="H33:H38" ca="1" si="26">IF(ISBLANK(INDIRECT(ADDRESS($W33,19,,,"SpB m Gassen"))),"",INDIRECT(ADDRESS($W33,19,,,"SpB m Gassen")))</f>
        <v/>
      </c>
      <c r="I33" s="246" t="str">
        <f t="shared" ref="I33:I38" ca="1" si="27">IF(ISBLANK(INDIRECT(ADDRESS($W33,20,,,"SpB m Gassen"))),"",INDIRECT(ADDRESS($W33,20,,,"SpB m Gassen")))</f>
        <v/>
      </c>
      <c r="J33" s="247" t="str">
        <f t="shared" ref="J33:J38" ca="1" si="28">IF(ISBLANK(INDIRECT(ADDRESS($W33,21,,,"SpB m Gassen"))),"",INDIRECT(ADDRESS($W33,21,,,"SpB m Gassen")))</f>
        <v/>
      </c>
      <c r="K33" s="236" t="str">
        <f t="shared" ref="K33:K38" ca="1" si="29">IF(ISBLANK(INDIRECT(ADDRESS($AD33,1,,,"SpB m Gassen"))),"",INDIRECT(ADDRESS($AD33,1,,,"SpB m Gassen")))</f>
        <v/>
      </c>
      <c r="L33" s="289" t="str">
        <f t="shared" ref="L33:L38" ca="1" si="30">IF(ISBLANK(INDIRECT(ADDRESS($AD33,2,,,"SpB m Gassen"))),"",INDIRECT(ADDRESS($AD33,2,,,"SpB m Gassen")))</f>
        <v/>
      </c>
      <c r="M33" s="290" t="str">
        <f t="shared" ref="M33:M38" ca="1" si="31">IF(ISBLANK(INDIRECT(ADDRESS($AD33,1,,,"SpB m Gassen"))),"",INDIRECT(ADDRESS($AD33,1,,,"SpB m Gassen")))</f>
        <v/>
      </c>
      <c r="N33" s="290"/>
      <c r="O33" s="290" t="str">
        <f t="shared" ref="O33:Q38" ca="1" si="32">IF(ISBLANK(INDIRECT(ADDRESS($AD33,1,,,"SpB m Gassen"))),"",INDIRECT(ADDRESS($AD33,1,,,"SpB m Gassen")))</f>
        <v/>
      </c>
      <c r="P33" s="290" t="str">
        <f t="shared" ca="1" si="32"/>
        <v/>
      </c>
      <c r="Q33" s="291" t="str">
        <f t="shared" ca="1" si="32"/>
        <v/>
      </c>
      <c r="R33" s="160" t="str">
        <f t="shared" ref="R33:R38" ca="1" si="33">IF(U33&gt;0,INDIRECT(ADDRESS(ROW(),29)),"")</f>
        <v/>
      </c>
      <c r="S33" s="246" t="str">
        <f t="shared" ref="S33:S38" ca="1" si="34">IF(ISBLANK(INDIRECT(ADDRESS($AD33,19,,,"SpB m Gassen"))),"",INDIRECT(ADDRESS($AD33,19,,,"SpB m Gassen")))</f>
        <v/>
      </c>
      <c r="T33" s="246" t="str">
        <f t="shared" ref="T33:T38" ca="1" si="35">IF(ISBLANK(INDIRECT(ADDRESS($AD33,20,,,"SpB m Gassen"))),"",INDIRECT(ADDRESS($AD33,20,,,"SpB m Gassen")))</f>
        <v/>
      </c>
      <c r="U33" s="247" t="str">
        <f t="shared" ref="U33:U38" ca="1" si="36">IF(ISBLANK(INDIRECT(ADDRESS($AD33,21,,,"SpB m Gassen"))),"",INDIRECT(ADDRESS($AD33,21,,,"SpB m Gassen")))</f>
        <v/>
      </c>
      <c r="W33" s="143">
        <f>AD18+13</f>
        <v>45</v>
      </c>
      <c r="X33" s="143" t="str">
        <f t="shared" ref="X33:X38" ca="1" si="37">IF(ISNUMBER(Z33),25-RANK($Z33,$Z$18:$AA$38,0),"")</f>
        <v/>
      </c>
      <c r="Y33" s="143" t="str">
        <f t="shared" ref="Y33:Y38" si="38">ADDRESS(ROW(),10)</f>
        <v>$J$33</v>
      </c>
      <c r="Z33" s="184" t="str">
        <f t="shared" ref="Z33:Z38" ca="1" si="39">INDIRECT(Y33)</f>
        <v/>
      </c>
      <c r="AA33" s="184" t="str">
        <f t="shared" ref="AA33:AA38" ca="1" si="40">INDIRECT(AB33)</f>
        <v/>
      </c>
      <c r="AB33" s="143" t="str">
        <f t="shared" ref="AB33:AB38" si="41">ADDRESS(ROW(),21)</f>
        <v>$U$33</v>
      </c>
      <c r="AC33" s="143" t="str">
        <f t="shared" ref="AC33:AC38" ca="1" si="42">IF(ISNUMBER(AA33),25-RANK($AA33,$Z$18:$AA$38,0),"")</f>
        <v/>
      </c>
      <c r="AD33" s="143">
        <f t="shared" ref="AD33:AD38" si="43">W33+13</f>
        <v>58</v>
      </c>
      <c r="AG33" s="2"/>
    </row>
    <row r="34" spans="1:33" ht="22.5" customHeight="1" x14ac:dyDescent="0.2">
      <c r="A34" s="236" t="str">
        <f t="shared" ca="1" si="22"/>
        <v/>
      </c>
      <c r="B34" s="289" t="str">
        <f t="shared" ca="1" si="23"/>
        <v/>
      </c>
      <c r="C34" s="290" t="str">
        <f t="shared" ca="1" si="24"/>
        <v/>
      </c>
      <c r="D34" s="290" t="str">
        <f t="shared" ca="1" si="24"/>
        <v/>
      </c>
      <c r="E34" s="290" t="str">
        <f t="shared" ca="1" si="24"/>
        <v/>
      </c>
      <c r="F34" s="291" t="str">
        <f t="shared" ca="1" si="24"/>
        <v/>
      </c>
      <c r="G34" s="160" t="str">
        <f t="shared" ca="1" si="25"/>
        <v/>
      </c>
      <c r="H34" s="246" t="str">
        <f t="shared" ca="1" si="26"/>
        <v/>
      </c>
      <c r="I34" s="246" t="str">
        <f t="shared" ca="1" si="27"/>
        <v/>
      </c>
      <c r="J34" s="247" t="str">
        <f t="shared" ca="1" si="28"/>
        <v/>
      </c>
      <c r="K34" s="236" t="str">
        <f t="shared" ca="1" si="29"/>
        <v/>
      </c>
      <c r="L34" s="289" t="str">
        <f t="shared" ca="1" si="30"/>
        <v/>
      </c>
      <c r="M34" s="290" t="str">
        <f t="shared" ca="1" si="31"/>
        <v/>
      </c>
      <c r="N34" s="290"/>
      <c r="O34" s="290" t="str">
        <f t="shared" ca="1" si="32"/>
        <v/>
      </c>
      <c r="P34" s="290" t="str">
        <f t="shared" ca="1" si="32"/>
        <v/>
      </c>
      <c r="Q34" s="291" t="str">
        <f t="shared" ca="1" si="32"/>
        <v/>
      </c>
      <c r="R34" s="160" t="str">
        <f t="shared" ca="1" si="33"/>
        <v/>
      </c>
      <c r="S34" s="246" t="str">
        <f t="shared" ca="1" si="34"/>
        <v/>
      </c>
      <c r="T34" s="246" t="str">
        <f t="shared" ca="1" si="35"/>
        <v/>
      </c>
      <c r="U34" s="247" t="str">
        <f t="shared" ca="1" si="36"/>
        <v/>
      </c>
      <c r="W34" s="143">
        <f>W33+1</f>
        <v>46</v>
      </c>
      <c r="X34" s="143" t="str">
        <f t="shared" ca="1" si="37"/>
        <v/>
      </c>
      <c r="Y34" s="143" t="str">
        <f t="shared" si="38"/>
        <v>$J$34</v>
      </c>
      <c r="Z34" s="184" t="str">
        <f t="shared" ca="1" si="39"/>
        <v/>
      </c>
      <c r="AA34" s="184" t="str">
        <f t="shared" ca="1" si="40"/>
        <v/>
      </c>
      <c r="AB34" s="143" t="str">
        <f t="shared" si="41"/>
        <v>$U$34</v>
      </c>
      <c r="AC34" s="143" t="str">
        <f t="shared" ca="1" si="42"/>
        <v/>
      </c>
      <c r="AD34" s="143">
        <f t="shared" si="43"/>
        <v>59</v>
      </c>
      <c r="AG34" s="2"/>
    </row>
    <row r="35" spans="1:33" ht="22.5" customHeight="1" x14ac:dyDescent="0.2">
      <c r="A35" s="236" t="str">
        <f t="shared" ca="1" si="22"/>
        <v/>
      </c>
      <c r="B35" s="289" t="str">
        <f t="shared" ca="1" si="23"/>
        <v/>
      </c>
      <c r="C35" s="290" t="str">
        <f t="shared" ca="1" si="24"/>
        <v/>
      </c>
      <c r="D35" s="290" t="str">
        <f t="shared" ca="1" si="24"/>
        <v/>
      </c>
      <c r="E35" s="290" t="str">
        <f t="shared" ca="1" si="24"/>
        <v/>
      </c>
      <c r="F35" s="291" t="str">
        <f t="shared" ca="1" si="24"/>
        <v/>
      </c>
      <c r="G35" s="160" t="str">
        <f t="shared" ca="1" si="25"/>
        <v/>
      </c>
      <c r="H35" s="246" t="str">
        <f t="shared" ca="1" si="26"/>
        <v/>
      </c>
      <c r="I35" s="246" t="str">
        <f t="shared" ca="1" si="27"/>
        <v/>
      </c>
      <c r="J35" s="247" t="str">
        <f t="shared" ca="1" si="28"/>
        <v/>
      </c>
      <c r="K35" s="236" t="str">
        <f t="shared" ca="1" si="29"/>
        <v/>
      </c>
      <c r="L35" s="289" t="str">
        <f t="shared" ca="1" si="30"/>
        <v/>
      </c>
      <c r="M35" s="290" t="str">
        <f t="shared" ca="1" si="31"/>
        <v/>
      </c>
      <c r="N35" s="290"/>
      <c r="O35" s="290" t="str">
        <f t="shared" ca="1" si="32"/>
        <v/>
      </c>
      <c r="P35" s="290" t="str">
        <f t="shared" ca="1" si="32"/>
        <v/>
      </c>
      <c r="Q35" s="291" t="str">
        <f t="shared" ca="1" si="32"/>
        <v/>
      </c>
      <c r="R35" s="160" t="str">
        <f t="shared" ca="1" si="33"/>
        <v/>
      </c>
      <c r="S35" s="246" t="str">
        <f t="shared" ca="1" si="34"/>
        <v/>
      </c>
      <c r="T35" s="246" t="str">
        <f t="shared" ca="1" si="35"/>
        <v/>
      </c>
      <c r="U35" s="247" t="str">
        <f t="shared" ca="1" si="36"/>
        <v/>
      </c>
      <c r="W35" s="143">
        <f>W34+1</f>
        <v>47</v>
      </c>
      <c r="X35" s="143" t="str">
        <f t="shared" ca="1" si="37"/>
        <v/>
      </c>
      <c r="Y35" s="143" t="str">
        <f t="shared" si="38"/>
        <v>$J$35</v>
      </c>
      <c r="Z35" s="184" t="str">
        <f t="shared" ca="1" si="39"/>
        <v/>
      </c>
      <c r="AA35" s="184" t="str">
        <f t="shared" ca="1" si="40"/>
        <v/>
      </c>
      <c r="AB35" s="143" t="str">
        <f t="shared" si="41"/>
        <v>$U$35</v>
      </c>
      <c r="AC35" s="143" t="str">
        <f t="shared" ca="1" si="42"/>
        <v/>
      </c>
      <c r="AD35" s="143">
        <f t="shared" si="43"/>
        <v>60</v>
      </c>
      <c r="AG35" s="2"/>
    </row>
    <row r="36" spans="1:33" ht="22.5" customHeight="1" x14ac:dyDescent="0.2">
      <c r="A36" s="236" t="str">
        <f t="shared" ca="1" si="22"/>
        <v/>
      </c>
      <c r="B36" s="289" t="str">
        <f t="shared" ca="1" si="23"/>
        <v/>
      </c>
      <c r="C36" s="290" t="str">
        <f t="shared" ca="1" si="24"/>
        <v/>
      </c>
      <c r="D36" s="290" t="str">
        <f t="shared" ca="1" si="24"/>
        <v/>
      </c>
      <c r="E36" s="290" t="str">
        <f t="shared" ca="1" si="24"/>
        <v/>
      </c>
      <c r="F36" s="291" t="str">
        <f t="shared" ca="1" si="24"/>
        <v/>
      </c>
      <c r="G36" s="160" t="str">
        <f t="shared" ca="1" si="25"/>
        <v/>
      </c>
      <c r="H36" s="246" t="str">
        <f t="shared" ca="1" si="26"/>
        <v/>
      </c>
      <c r="I36" s="246" t="str">
        <f t="shared" ca="1" si="27"/>
        <v/>
      </c>
      <c r="J36" s="247" t="str">
        <f t="shared" ca="1" si="28"/>
        <v/>
      </c>
      <c r="K36" s="236" t="str">
        <f t="shared" ca="1" si="29"/>
        <v/>
      </c>
      <c r="L36" s="289" t="str">
        <f t="shared" ca="1" si="30"/>
        <v/>
      </c>
      <c r="M36" s="290" t="str">
        <f t="shared" ca="1" si="31"/>
        <v/>
      </c>
      <c r="N36" s="290"/>
      <c r="O36" s="290" t="str">
        <f t="shared" ca="1" si="32"/>
        <v/>
      </c>
      <c r="P36" s="290" t="str">
        <f t="shared" ca="1" si="32"/>
        <v/>
      </c>
      <c r="Q36" s="291" t="str">
        <f t="shared" ca="1" si="32"/>
        <v/>
      </c>
      <c r="R36" s="160" t="str">
        <f t="shared" ca="1" si="33"/>
        <v/>
      </c>
      <c r="S36" s="246" t="str">
        <f t="shared" ca="1" si="34"/>
        <v/>
      </c>
      <c r="T36" s="246" t="str">
        <f t="shared" ca="1" si="35"/>
        <v/>
      </c>
      <c r="U36" s="247" t="str">
        <f t="shared" ca="1" si="36"/>
        <v/>
      </c>
      <c r="W36" s="143">
        <f>W35+1</f>
        <v>48</v>
      </c>
      <c r="X36" s="143" t="str">
        <f t="shared" ca="1" si="37"/>
        <v/>
      </c>
      <c r="Y36" s="143" t="str">
        <f t="shared" si="38"/>
        <v>$J$36</v>
      </c>
      <c r="Z36" s="184" t="str">
        <f t="shared" ca="1" si="39"/>
        <v/>
      </c>
      <c r="AA36" s="184" t="str">
        <f t="shared" ca="1" si="40"/>
        <v/>
      </c>
      <c r="AB36" s="143" t="str">
        <f t="shared" si="41"/>
        <v>$U$36</v>
      </c>
      <c r="AC36" s="143" t="str">
        <f t="shared" ca="1" si="42"/>
        <v/>
      </c>
      <c r="AD36" s="143">
        <f t="shared" si="43"/>
        <v>61</v>
      </c>
      <c r="AG36" s="2"/>
    </row>
    <row r="37" spans="1:33" ht="22.5" customHeight="1" x14ac:dyDescent="0.2">
      <c r="A37" s="236" t="str">
        <f t="shared" ca="1" si="22"/>
        <v/>
      </c>
      <c r="B37" s="289" t="str">
        <f t="shared" ca="1" si="23"/>
        <v/>
      </c>
      <c r="C37" s="290" t="str">
        <f t="shared" ca="1" si="24"/>
        <v/>
      </c>
      <c r="D37" s="290" t="str">
        <f t="shared" ca="1" si="24"/>
        <v/>
      </c>
      <c r="E37" s="290" t="str">
        <f t="shared" ca="1" si="24"/>
        <v/>
      </c>
      <c r="F37" s="291" t="str">
        <f t="shared" ca="1" si="24"/>
        <v/>
      </c>
      <c r="G37" s="160" t="str">
        <f t="shared" ca="1" si="25"/>
        <v/>
      </c>
      <c r="H37" s="246" t="str">
        <f t="shared" ca="1" si="26"/>
        <v/>
      </c>
      <c r="I37" s="246" t="str">
        <f t="shared" ca="1" si="27"/>
        <v/>
      </c>
      <c r="J37" s="247" t="str">
        <f t="shared" ca="1" si="28"/>
        <v/>
      </c>
      <c r="K37" s="236" t="str">
        <f t="shared" ca="1" si="29"/>
        <v/>
      </c>
      <c r="L37" s="289" t="str">
        <f t="shared" ca="1" si="30"/>
        <v/>
      </c>
      <c r="M37" s="290" t="str">
        <f t="shared" ca="1" si="31"/>
        <v/>
      </c>
      <c r="N37" s="290"/>
      <c r="O37" s="290" t="str">
        <f t="shared" ca="1" si="32"/>
        <v/>
      </c>
      <c r="P37" s="290" t="str">
        <f t="shared" ca="1" si="32"/>
        <v/>
      </c>
      <c r="Q37" s="291" t="str">
        <f t="shared" ca="1" si="32"/>
        <v/>
      </c>
      <c r="R37" s="160" t="str">
        <f t="shared" ca="1" si="33"/>
        <v/>
      </c>
      <c r="S37" s="246" t="str">
        <f t="shared" ca="1" si="34"/>
        <v/>
      </c>
      <c r="T37" s="246" t="str">
        <f t="shared" ca="1" si="35"/>
        <v/>
      </c>
      <c r="U37" s="247" t="str">
        <f t="shared" ca="1" si="36"/>
        <v/>
      </c>
      <c r="W37" s="143">
        <f>W36+1</f>
        <v>49</v>
      </c>
      <c r="X37" s="143" t="str">
        <f t="shared" ca="1" si="37"/>
        <v/>
      </c>
      <c r="Y37" s="143" t="str">
        <f t="shared" si="38"/>
        <v>$J$37</v>
      </c>
      <c r="Z37" s="184" t="str">
        <f t="shared" ca="1" si="39"/>
        <v/>
      </c>
      <c r="AA37" s="184" t="str">
        <f t="shared" ca="1" si="40"/>
        <v/>
      </c>
      <c r="AB37" s="143" t="str">
        <f t="shared" si="41"/>
        <v>$U$37</v>
      </c>
      <c r="AC37" s="143" t="str">
        <f t="shared" ca="1" si="42"/>
        <v/>
      </c>
      <c r="AD37" s="143">
        <f t="shared" si="43"/>
        <v>62</v>
      </c>
      <c r="AG37" s="2"/>
    </row>
    <row r="38" spans="1:33" ht="22.5" customHeight="1" x14ac:dyDescent="0.2">
      <c r="A38" s="237" t="str">
        <f t="shared" ca="1" si="22"/>
        <v/>
      </c>
      <c r="B38" s="298" t="str">
        <f t="shared" ca="1" si="23"/>
        <v/>
      </c>
      <c r="C38" s="299" t="str">
        <f t="shared" ca="1" si="24"/>
        <v/>
      </c>
      <c r="D38" s="299" t="str">
        <f t="shared" ca="1" si="24"/>
        <v/>
      </c>
      <c r="E38" s="299" t="str">
        <f t="shared" ca="1" si="24"/>
        <v/>
      </c>
      <c r="F38" s="300" t="str">
        <f t="shared" ca="1" si="24"/>
        <v/>
      </c>
      <c r="G38" s="172" t="str">
        <f t="shared" ca="1" si="25"/>
        <v/>
      </c>
      <c r="H38" s="248" t="str">
        <f t="shared" ca="1" si="26"/>
        <v/>
      </c>
      <c r="I38" s="248" t="str">
        <f t="shared" ca="1" si="27"/>
        <v/>
      </c>
      <c r="J38" s="249" t="str">
        <f t="shared" ca="1" si="28"/>
        <v/>
      </c>
      <c r="K38" s="237" t="str">
        <f t="shared" ca="1" si="29"/>
        <v/>
      </c>
      <c r="L38" s="298" t="str">
        <f t="shared" ca="1" si="30"/>
        <v/>
      </c>
      <c r="M38" s="299" t="str">
        <f t="shared" ca="1" si="31"/>
        <v/>
      </c>
      <c r="N38" s="299"/>
      <c r="O38" s="299" t="str">
        <f t="shared" ca="1" si="32"/>
        <v/>
      </c>
      <c r="P38" s="299" t="str">
        <f t="shared" ca="1" si="32"/>
        <v/>
      </c>
      <c r="Q38" s="300" t="str">
        <f t="shared" ca="1" si="32"/>
        <v/>
      </c>
      <c r="R38" s="172" t="str">
        <f t="shared" ca="1" si="33"/>
        <v/>
      </c>
      <c r="S38" s="248" t="str">
        <f t="shared" ca="1" si="34"/>
        <v/>
      </c>
      <c r="T38" s="248" t="str">
        <f t="shared" ca="1" si="35"/>
        <v/>
      </c>
      <c r="U38" s="249" t="str">
        <f t="shared" ca="1" si="36"/>
        <v/>
      </c>
      <c r="W38" s="143">
        <f>W37+1</f>
        <v>50</v>
      </c>
      <c r="X38" s="143" t="str">
        <f t="shared" ca="1" si="37"/>
        <v/>
      </c>
      <c r="Y38" s="143" t="str">
        <f t="shared" si="38"/>
        <v>$J$38</v>
      </c>
      <c r="Z38" s="184" t="str">
        <f t="shared" ca="1" si="39"/>
        <v/>
      </c>
      <c r="AA38" s="184" t="str">
        <f t="shared" ca="1" si="40"/>
        <v/>
      </c>
      <c r="AB38" s="143" t="str">
        <f t="shared" si="41"/>
        <v>$U$38</v>
      </c>
      <c r="AC38" s="143" t="str">
        <f t="shared" ca="1" si="42"/>
        <v/>
      </c>
      <c r="AD38" s="143">
        <f t="shared" si="43"/>
        <v>63</v>
      </c>
      <c r="AG38" s="2"/>
    </row>
    <row r="39" spans="1:33" ht="22.5" customHeight="1" x14ac:dyDescent="0.25">
      <c r="A39" s="86"/>
      <c r="B39" s="79" t="s">
        <v>10</v>
      </c>
      <c r="C39" s="47">
        <f ca="1">IF(ISERROR(AF39),"",IF(AF39&gt;0,RANK(AF39,$AF$24:$AF$40,TRUE),0))</f>
        <v>0</v>
      </c>
      <c r="D39" s="80"/>
      <c r="E39" s="81"/>
      <c r="F39" s="82"/>
      <c r="G39" s="170" t="str">
        <f ca="1">IF(COUNT(G33:G38)&gt;0,SUM(G33:G38),"")</f>
        <v/>
      </c>
      <c r="H39" s="176" t="str">
        <f ca="1">IF(COUNT(H33:H38)&gt;0,SUM(H33:H38),"")</f>
        <v/>
      </c>
      <c r="I39" s="176" t="str">
        <f ca="1">IF(COUNT(I33:I38)&gt;0,SUM(I33:I38),"")</f>
        <v/>
      </c>
      <c r="J39" s="171" t="str">
        <f ca="1">IF(COUNT(J33:J38)&gt;0,ROUNDDOWN(SUM(J33:J38),0),"")</f>
        <v/>
      </c>
      <c r="K39" s="86"/>
      <c r="L39" s="79" t="s">
        <v>10</v>
      </c>
      <c r="M39" s="47">
        <f ca="1">IF(ISERROR(AF40),"",IF(AF40&gt;0,RANK(AF40,$AF$24:$AF$40,TRUE),0))</f>
        <v>0</v>
      </c>
      <c r="N39" s="81"/>
      <c r="O39" s="81"/>
      <c r="P39" s="80"/>
      <c r="Q39" s="82"/>
      <c r="R39" s="170" t="str">
        <f ca="1">IF(COUNT(R33:R38)&gt;0,SUM(R33:R38),"")</f>
        <v/>
      </c>
      <c r="S39" s="176" t="str">
        <f ca="1">IF(COUNT(S33:S38)&gt;0,SUM(S33:S38),"")</f>
        <v/>
      </c>
      <c r="T39" s="176" t="str">
        <f ca="1">IF(COUNT(T33:T38)&gt;0,SUM(T33:T38),"")</f>
        <v/>
      </c>
      <c r="U39" s="171" t="str">
        <f ca="1">IF(COUNT(U33:U38)&gt;0,ROUNDDOWN(SUM(U33:U38),0),"")</f>
        <v/>
      </c>
      <c r="Z39" s="184"/>
      <c r="AA39" s="184"/>
      <c r="AC39" s="143" t="str">
        <f>ADDRESS(39,8)</f>
        <v>$H$39</v>
      </c>
      <c r="AD39" s="143" t="str">
        <f>ADDRESS(39,9)</f>
        <v>$I$39</v>
      </c>
      <c r="AE39" s="143" t="str">
        <f>ADDRESS(39,10)</f>
        <v>$J$39</v>
      </c>
      <c r="AF39" s="184">
        <f ca="1">IF(ISNUMBER(INDIRECT(AE39)),INDIRECT(AE39)+(INDIRECT(AC39)/10000)+IF(ISNUMBER(INDIRECT(AD39)),INDIRECT(AD39)/10000000,0),0)</f>
        <v>0</v>
      </c>
      <c r="AG39" s="2">
        <f ca="1">IF(ISNUMBER(AF39),5-RANK($AF39,$AF$24:$AF$40,0),"")</f>
        <v>4</v>
      </c>
    </row>
    <row r="40" spans="1:33" ht="9" customHeight="1" x14ac:dyDescent="0.2">
      <c r="A40" s="53"/>
      <c r="B40" s="9"/>
      <c r="C40" s="9"/>
      <c r="D40" s="9"/>
      <c r="E40" s="14"/>
      <c r="F40" s="14"/>
      <c r="G40" s="14"/>
      <c r="H40" s="14"/>
      <c r="I40" s="14"/>
      <c r="J40" s="59"/>
      <c r="K40" s="53"/>
      <c r="L40" s="9"/>
      <c r="M40" s="9"/>
      <c r="N40" s="14"/>
      <c r="O40" s="14"/>
      <c r="P40" s="9"/>
      <c r="Q40" s="14"/>
      <c r="R40" s="14"/>
      <c r="S40" s="14"/>
      <c r="T40" s="14"/>
      <c r="U40" s="59"/>
      <c r="Z40" s="145"/>
      <c r="AA40" s="145" t="str">
        <f ca="1">INDIRECT(AD40)</f>
        <v/>
      </c>
      <c r="AC40" s="143" t="str">
        <f>ADDRESS(39,19)</f>
        <v>$S$39</v>
      </c>
      <c r="AD40" s="143" t="str">
        <f>ADDRESS(39,20)</f>
        <v>$T$39</v>
      </c>
      <c r="AE40" s="143" t="str">
        <f>ADDRESS(39,21)</f>
        <v>$U$39</v>
      </c>
      <c r="AF40" s="184">
        <f ca="1">IF(ISNUMBER(INDIRECT(AE40)),INDIRECT(AE40)+(INDIRECT(AC40)/10000)+IF(ISNUMBER(INDIRECT(AD40)),INDIRECT(AD40)/10000000,0),0)</f>
        <v>0</v>
      </c>
      <c r="AG40" s="2">
        <f ca="1">IF(ISNUMBER(AF40),5-RANK($AF40,$AF$24:$AF$40,0),"")</f>
        <v>4</v>
      </c>
    </row>
    <row r="41" spans="1:33" ht="22.5" customHeight="1" x14ac:dyDescent="0.2">
      <c r="A41" s="292"/>
      <c r="B41" s="293"/>
      <c r="C41" s="293"/>
      <c r="D41" s="293"/>
      <c r="E41" s="293"/>
      <c r="F41" s="293"/>
      <c r="G41" s="12"/>
      <c r="H41" s="14"/>
      <c r="I41" s="14"/>
      <c r="J41" s="59"/>
      <c r="K41" s="292"/>
      <c r="L41" s="293"/>
      <c r="M41" s="293"/>
      <c r="N41" s="293"/>
      <c r="O41" s="293"/>
      <c r="P41" s="293"/>
      <c r="Q41" s="293"/>
      <c r="R41" s="12"/>
      <c r="S41" s="14"/>
      <c r="T41" s="14"/>
      <c r="U41" s="59"/>
      <c r="Z41" s="145"/>
      <c r="AA41" s="145"/>
      <c r="AF41" s="184">
        <f ca="1">MODE(AF24:AF40)</f>
        <v>0</v>
      </c>
      <c r="AG41" s="2"/>
    </row>
    <row r="42" spans="1:33" ht="10.5" customHeight="1" x14ac:dyDescent="0.2">
      <c r="A42" s="294" t="s">
        <v>35</v>
      </c>
      <c r="B42" s="295"/>
      <c r="C42" s="295"/>
      <c r="D42" s="295"/>
      <c r="E42" s="295"/>
      <c r="F42" s="295"/>
      <c r="G42" s="12"/>
      <c r="H42" s="8"/>
      <c r="I42" s="8"/>
      <c r="J42" s="87"/>
      <c r="K42" s="294" t="s">
        <v>35</v>
      </c>
      <c r="L42" s="295"/>
      <c r="M42" s="295"/>
      <c r="N42" s="295"/>
      <c r="O42" s="295"/>
      <c r="P42" s="295"/>
      <c r="Q42" s="295"/>
      <c r="R42" s="12"/>
      <c r="S42" s="8"/>
      <c r="T42" s="8"/>
      <c r="U42" s="87"/>
      <c r="Z42" s="145"/>
      <c r="AA42" s="145"/>
      <c r="AG42" s="2"/>
    </row>
    <row r="43" spans="1:33" ht="9" customHeight="1" thickBot="1" x14ac:dyDescent="0.25">
      <c r="A43" s="60"/>
      <c r="B43" s="61"/>
      <c r="C43" s="61"/>
      <c r="D43" s="61"/>
      <c r="E43" s="61"/>
      <c r="F43" s="62"/>
      <c r="G43" s="62"/>
      <c r="H43" s="62"/>
      <c r="I43" s="62"/>
      <c r="J43" s="63"/>
      <c r="K43" s="60"/>
      <c r="L43" s="61"/>
      <c r="M43" s="61"/>
      <c r="N43" s="61"/>
      <c r="O43" s="61"/>
      <c r="P43" s="61"/>
      <c r="Q43" s="62"/>
      <c r="R43" s="62"/>
      <c r="S43" s="62"/>
      <c r="T43" s="62"/>
      <c r="U43" s="63"/>
      <c r="Z43" s="145"/>
      <c r="AA43" s="145"/>
      <c r="AE43" s="121"/>
      <c r="AF43" s="181"/>
      <c r="AG43" s="2"/>
    </row>
    <row r="44" spans="1:33" ht="22.5" customHeight="1" x14ac:dyDescent="0.2">
      <c r="A44" s="11"/>
      <c r="B44" s="8"/>
      <c r="C44" s="8"/>
      <c r="D44" s="8"/>
      <c r="E44" s="8"/>
      <c r="F44" s="12"/>
      <c r="G44" s="12"/>
      <c r="H44" s="8"/>
      <c r="I44" s="8"/>
      <c r="J44" s="8"/>
      <c r="K44" s="12"/>
      <c r="L44" s="12"/>
      <c r="M44" s="12"/>
      <c r="N44" s="8"/>
      <c r="O44" s="8"/>
      <c r="P44" s="8"/>
      <c r="Q44" s="12"/>
      <c r="R44" s="12"/>
      <c r="S44" s="12"/>
      <c r="T44" s="12"/>
      <c r="U44" s="12"/>
      <c r="Z44" s="145"/>
      <c r="AA44" s="145"/>
      <c r="AG44" s="2"/>
    </row>
    <row r="45" spans="1:33" ht="15.75" customHeight="1" x14ac:dyDescent="0.25">
      <c r="A45" s="319" t="s">
        <v>89</v>
      </c>
      <c r="B45" s="320"/>
      <c r="C45" s="320"/>
      <c r="D45" s="320"/>
      <c r="E45" s="320"/>
      <c r="F45" s="320"/>
      <c r="G45" s="320"/>
      <c r="H45" s="320"/>
      <c r="I45" s="320"/>
      <c r="J45" s="320"/>
      <c r="K45" s="320"/>
      <c r="L45" s="320"/>
      <c r="M45" s="320"/>
      <c r="N45" s="320"/>
      <c r="O45" s="320"/>
      <c r="P45" s="320"/>
      <c r="Q45" s="320"/>
      <c r="R45" s="320"/>
      <c r="S45" s="320"/>
      <c r="T45" s="320"/>
      <c r="U45" s="321"/>
      <c r="Z45" s="184" t="e">
        <f ca="1">MODE(Z18:AA38)</f>
        <v>#N/A</v>
      </c>
      <c r="AA45" s="145" t="s">
        <v>60</v>
      </c>
      <c r="AB45" s="2" t="s">
        <v>12</v>
      </c>
      <c r="AG45" s="2"/>
    </row>
    <row r="46" spans="1:33" ht="22.5" customHeight="1" x14ac:dyDescent="0.2">
      <c r="A46" s="133"/>
      <c r="B46" s="134"/>
      <c r="C46" s="134"/>
      <c r="D46" s="134"/>
      <c r="E46" s="134"/>
      <c r="F46" s="148" t="s">
        <v>36</v>
      </c>
      <c r="G46" s="186" t="s">
        <v>37</v>
      </c>
      <c r="H46" s="74" t="s">
        <v>38</v>
      </c>
      <c r="I46" s="74" t="s">
        <v>39</v>
      </c>
      <c r="J46" s="76" t="s">
        <v>40</v>
      </c>
      <c r="K46" s="148" t="s">
        <v>41</v>
      </c>
      <c r="L46" s="140"/>
      <c r="M46" s="309" t="s">
        <v>76</v>
      </c>
      <c r="N46" s="310"/>
      <c r="O46" s="311" t="s">
        <v>72</v>
      </c>
      <c r="P46" s="310"/>
      <c r="Q46" s="74" t="s">
        <v>73</v>
      </c>
      <c r="R46" s="151" t="s">
        <v>74</v>
      </c>
      <c r="S46" s="140" t="s">
        <v>75</v>
      </c>
      <c r="T46" s="148"/>
      <c r="U46" s="148" t="s">
        <v>49</v>
      </c>
      <c r="Z46" s="143" t="e">
        <f ca="1">($Z$45-ROUNDDOWN($Z$45,0))*10000</f>
        <v>#N/A</v>
      </c>
      <c r="AA46" s="145" t="s">
        <v>60</v>
      </c>
      <c r="AB46" s="2" t="s">
        <v>88</v>
      </c>
      <c r="AG46" s="2"/>
    </row>
    <row r="47" spans="1:33" ht="22.5" customHeight="1" x14ac:dyDescent="0.2">
      <c r="A47" s="135" t="str">
        <f>IF(ISBLANK(GASTGEBER),"",GASTGEBER)</f>
        <v/>
      </c>
      <c r="B47" s="136"/>
      <c r="C47" s="136"/>
      <c r="D47" s="136"/>
      <c r="E47" s="136"/>
      <c r="F47" s="200">
        <v>1</v>
      </c>
      <c r="G47" s="189"/>
      <c r="H47" s="164"/>
      <c r="I47" s="164"/>
      <c r="J47" s="165"/>
      <c r="K47" s="149">
        <f>IF(SUM(F47:J47)&gt;0,SUM(F47:J47)+IF(ISNUMBER(S47),S47/1000,0),"")</f>
        <v>1</v>
      </c>
      <c r="L47" s="141"/>
      <c r="M47" s="304"/>
      <c r="N47" s="305"/>
      <c r="O47" s="308"/>
      <c r="P47" s="305"/>
      <c r="Q47" s="166"/>
      <c r="R47" s="203"/>
      <c r="S47" s="141">
        <f>IF(ISNUMBER(F47),SUM(M47:R47),"")</f>
        <v>0</v>
      </c>
      <c r="T47" s="190"/>
      <c r="U47" s="152">
        <f>IF(ISNUMBER(K47),RANK(K47,$K$47:$K$50,FALSE),"")</f>
        <v>4</v>
      </c>
      <c r="Z47" s="143" t="e">
        <f ca="1">($Z$45-ROUNDDOWN($Z$45,4))*10000000</f>
        <v>#N/A</v>
      </c>
      <c r="AA47" s="145" t="s">
        <v>60</v>
      </c>
      <c r="AB47" s="2" t="s">
        <v>81</v>
      </c>
    </row>
    <row r="48" spans="1:33" ht="22.5" customHeight="1" x14ac:dyDescent="0.2">
      <c r="A48" s="135" t="str">
        <f>IF(ISBLANK(GAST_1),"",GAST_1)</f>
        <v/>
      </c>
      <c r="B48" s="136"/>
      <c r="C48" s="136"/>
      <c r="D48" s="136"/>
      <c r="E48" s="136"/>
      <c r="F48" s="201">
        <v>2</v>
      </c>
      <c r="G48" s="187"/>
      <c r="H48" s="166"/>
      <c r="I48" s="166"/>
      <c r="J48" s="165"/>
      <c r="K48" s="149">
        <f>IF(SUM(F48:J48)&gt;0,SUM(F48:J48)+IF(ISNUMBER(S48),S48/1000,0),"")</f>
        <v>2</v>
      </c>
      <c r="L48" s="141"/>
      <c r="M48" s="304"/>
      <c r="N48" s="305"/>
      <c r="O48" s="308"/>
      <c r="P48" s="305"/>
      <c r="Q48" s="166"/>
      <c r="R48" s="203"/>
      <c r="S48" s="141">
        <f>IF(ISNUMBER(F48),SUM(M48:R48),"")</f>
        <v>0</v>
      </c>
      <c r="T48" s="191"/>
      <c r="U48" s="152">
        <f>IF(ISNUMBER(K48),RANK(K48,$K$47:$K$50,FALSE),"")</f>
        <v>3</v>
      </c>
    </row>
    <row r="49" spans="1:32" ht="22.5" customHeight="1" x14ac:dyDescent="0.2">
      <c r="A49" s="135" t="str">
        <f>IF(ISBLANK(GAST_2),"",GAST_2)</f>
        <v/>
      </c>
      <c r="B49" s="136"/>
      <c r="C49" s="136"/>
      <c r="D49" s="136"/>
      <c r="E49" s="136"/>
      <c r="F49" s="201">
        <v>3</v>
      </c>
      <c r="G49" s="187"/>
      <c r="H49" s="166"/>
      <c r="I49" s="166"/>
      <c r="J49" s="165"/>
      <c r="K49" s="149">
        <f>IF(SUM(F49:J49)&gt;0,SUM(F49:J49)+IF(ISNUMBER(S49),S49/1000,0),"")</f>
        <v>3</v>
      </c>
      <c r="L49" s="141"/>
      <c r="M49" s="304"/>
      <c r="N49" s="305"/>
      <c r="O49" s="308"/>
      <c r="P49" s="305"/>
      <c r="Q49" s="166"/>
      <c r="R49" s="203"/>
      <c r="S49" s="141">
        <f>IF(ISNUMBER(F49),SUM(M49:R49),"")</f>
        <v>0</v>
      </c>
      <c r="T49" s="191"/>
      <c r="U49" s="152">
        <f>IF(ISNUMBER(K49),RANK(K49,$K$47:$K$50,FALSE),"")</f>
        <v>2</v>
      </c>
    </row>
    <row r="50" spans="1:32" ht="22.5" customHeight="1" x14ac:dyDescent="0.2">
      <c r="A50" s="131" t="str">
        <f>IF(ISBLANK(GAST_3),"",GAST_3)</f>
        <v/>
      </c>
      <c r="B50" s="132"/>
      <c r="C50" s="132"/>
      <c r="D50" s="132"/>
      <c r="E50" s="132"/>
      <c r="F50" s="202">
        <v>4</v>
      </c>
      <c r="G50" s="188"/>
      <c r="H50" s="167"/>
      <c r="I50" s="167"/>
      <c r="J50" s="168"/>
      <c r="K50" s="150">
        <f>IF(SUM(F50:J50)&gt;0,SUM(F50:J50)+IF(ISNUMBER(S50),S50/1000,0),"")</f>
        <v>4</v>
      </c>
      <c r="L50" s="142"/>
      <c r="M50" s="306"/>
      <c r="N50" s="307"/>
      <c r="O50" s="318"/>
      <c r="P50" s="307"/>
      <c r="Q50" s="167"/>
      <c r="R50" s="204"/>
      <c r="S50" s="142">
        <f>IF(ISNUMBER(F50),SUM(M50:R50),"")</f>
        <v>0</v>
      </c>
      <c r="T50" s="192"/>
      <c r="U50" s="153">
        <f>IF(ISNUMBER(K50),RANK(K50,$K$47:$K$50,FALSE),"")</f>
        <v>1</v>
      </c>
    </row>
    <row r="51" spans="1:32" ht="22.5" customHeight="1" x14ac:dyDescent="0.2">
      <c r="A51" s="252" t="s">
        <v>104</v>
      </c>
      <c r="B51" s="250"/>
      <c r="C51" s="250"/>
      <c r="D51" s="250"/>
      <c r="E51" s="250"/>
      <c r="F51" s="250"/>
      <c r="G51" s="250"/>
      <c r="H51" s="251"/>
      <c r="I51" s="251"/>
      <c r="J51" s="251"/>
      <c r="K51" s="250"/>
      <c r="L51" s="207"/>
      <c r="M51" s="206"/>
      <c r="N51" s="206"/>
      <c r="O51" s="206"/>
      <c r="P51" s="206"/>
      <c r="Q51" s="206"/>
      <c r="R51" s="206"/>
      <c r="S51" s="207"/>
      <c r="T51" s="207"/>
      <c r="U51" s="207"/>
      <c r="AE51" s="121"/>
      <c r="AF51" s="181"/>
    </row>
    <row r="52" spans="1:32" ht="22.5" customHeight="1" x14ac:dyDescent="0.2">
      <c r="A52" s="244" t="s">
        <v>9</v>
      </c>
      <c r="B52" s="245"/>
      <c r="C52" s="313"/>
      <c r="D52" s="313"/>
      <c r="E52" s="313"/>
      <c r="F52" s="313"/>
      <c r="G52" s="313"/>
      <c r="H52" s="313"/>
      <c r="I52" s="313"/>
      <c r="J52" s="313"/>
      <c r="K52" s="313"/>
      <c r="L52" s="313"/>
      <c r="M52" s="313"/>
      <c r="N52" s="313"/>
      <c r="O52" s="313"/>
      <c r="P52" s="313"/>
      <c r="Q52" s="313"/>
      <c r="R52" s="313"/>
      <c r="S52" s="313"/>
      <c r="T52" s="313"/>
      <c r="U52" s="314"/>
    </row>
    <row r="53" spans="1:32" ht="22.5" customHeight="1" x14ac:dyDescent="0.2">
      <c r="A53" s="301"/>
      <c r="B53" s="302"/>
      <c r="C53" s="302"/>
      <c r="D53" s="302"/>
      <c r="E53" s="302"/>
      <c r="F53" s="302"/>
      <c r="G53" s="302"/>
      <c r="H53" s="302"/>
      <c r="I53" s="302"/>
      <c r="J53" s="302"/>
      <c r="K53" s="302"/>
      <c r="L53" s="302"/>
      <c r="M53" s="302"/>
      <c r="N53" s="302"/>
      <c r="O53" s="302"/>
      <c r="P53" s="302"/>
      <c r="Q53" s="302"/>
      <c r="R53" s="302"/>
      <c r="S53" s="302"/>
      <c r="T53" s="302"/>
      <c r="U53" s="303"/>
    </row>
    <row r="54" spans="1:32" ht="22.5" customHeight="1" x14ac:dyDescent="0.2">
      <c r="A54" s="301"/>
      <c r="B54" s="302"/>
      <c r="C54" s="302"/>
      <c r="D54" s="302"/>
      <c r="E54" s="302"/>
      <c r="F54" s="302"/>
      <c r="G54" s="302"/>
      <c r="H54" s="302"/>
      <c r="I54" s="302"/>
      <c r="J54" s="302"/>
      <c r="K54" s="302"/>
      <c r="L54" s="302"/>
      <c r="M54" s="302"/>
      <c r="N54" s="302"/>
      <c r="O54" s="302"/>
      <c r="P54" s="302"/>
      <c r="Q54" s="302"/>
      <c r="R54" s="302"/>
      <c r="S54" s="302"/>
      <c r="T54" s="302"/>
      <c r="U54" s="303"/>
    </row>
    <row r="55" spans="1:32" ht="22.5" customHeight="1" x14ac:dyDescent="0.2">
      <c r="A55" s="301"/>
      <c r="B55" s="302"/>
      <c r="C55" s="302"/>
      <c r="D55" s="302"/>
      <c r="E55" s="302"/>
      <c r="F55" s="302"/>
      <c r="G55" s="302"/>
      <c r="H55" s="302"/>
      <c r="I55" s="302"/>
      <c r="J55" s="302"/>
      <c r="K55" s="302"/>
      <c r="L55" s="302"/>
      <c r="M55" s="302"/>
      <c r="N55" s="302"/>
      <c r="O55" s="302"/>
      <c r="P55" s="302"/>
      <c r="Q55" s="302"/>
      <c r="R55" s="302"/>
      <c r="S55" s="302"/>
      <c r="T55" s="302"/>
      <c r="U55" s="303"/>
    </row>
    <row r="56" spans="1:32" ht="22.5" customHeight="1" x14ac:dyDescent="0.2">
      <c r="A56" s="315"/>
      <c r="B56" s="316"/>
      <c r="C56" s="316"/>
      <c r="D56" s="316"/>
      <c r="E56" s="316"/>
      <c r="F56" s="316"/>
      <c r="G56" s="316"/>
      <c r="H56" s="316"/>
      <c r="I56" s="316"/>
      <c r="J56" s="316"/>
      <c r="K56" s="316"/>
      <c r="L56" s="316"/>
      <c r="M56" s="316"/>
      <c r="N56" s="316"/>
      <c r="O56" s="316"/>
      <c r="P56" s="316"/>
      <c r="Q56" s="316"/>
      <c r="R56" s="316"/>
      <c r="S56" s="316"/>
      <c r="T56" s="316"/>
      <c r="U56" s="317"/>
    </row>
    <row r="57" spans="1:32" ht="10.5" customHeight="1" x14ac:dyDescent="0.2">
      <c r="A57" s="38"/>
      <c r="B57" s="9"/>
      <c r="C57" s="9"/>
      <c r="D57" s="9"/>
      <c r="E57" s="9"/>
      <c r="F57" s="9"/>
      <c r="G57" s="9"/>
      <c r="H57" s="10"/>
      <c r="I57" s="10"/>
      <c r="J57" s="10"/>
      <c r="K57" s="5"/>
      <c r="L57" s="10"/>
      <c r="M57" s="9"/>
      <c r="N57" s="9"/>
      <c r="O57" s="9"/>
      <c r="P57" s="9"/>
      <c r="Q57" s="9"/>
      <c r="R57" s="9"/>
      <c r="S57" s="10"/>
      <c r="T57" s="10"/>
      <c r="U57" s="46"/>
      <c r="AE57" s="121"/>
      <c r="AF57" s="181"/>
    </row>
    <row r="58" spans="1:32" ht="22.5" customHeight="1" x14ac:dyDescent="0.2">
      <c r="A58" s="161"/>
      <c r="B58" s="312" t="s">
        <v>98</v>
      </c>
      <c r="C58" s="312"/>
      <c r="D58" s="312"/>
      <c r="E58" s="312"/>
      <c r="F58" s="312"/>
      <c r="G58" s="312"/>
      <c r="H58" s="14"/>
      <c r="I58" s="14"/>
      <c r="J58" s="14"/>
      <c r="K58" s="14"/>
      <c r="L58" s="14"/>
      <c r="M58" s="312" t="s">
        <v>98</v>
      </c>
      <c r="N58" s="312"/>
      <c r="O58" s="312"/>
      <c r="P58" s="312"/>
      <c r="Q58" s="312"/>
      <c r="R58" s="312"/>
      <c r="S58" s="312"/>
      <c r="T58" s="221"/>
      <c r="U58" s="163"/>
    </row>
    <row r="59" spans="1:32" ht="10.5" customHeight="1" x14ac:dyDescent="0.2">
      <c r="A59" s="161"/>
      <c r="B59" s="295" t="s">
        <v>42</v>
      </c>
      <c r="C59" s="295"/>
      <c r="D59" s="295"/>
      <c r="E59" s="295"/>
      <c r="F59" s="295"/>
      <c r="G59" s="295"/>
      <c r="H59" s="8"/>
      <c r="I59" s="8"/>
      <c r="J59" s="8"/>
      <c r="K59" s="12"/>
      <c r="L59" s="12"/>
      <c r="M59" s="295" t="s">
        <v>42</v>
      </c>
      <c r="N59" s="295"/>
      <c r="O59" s="295"/>
      <c r="P59" s="295"/>
      <c r="Q59" s="295"/>
      <c r="R59" s="295"/>
      <c r="S59" s="295"/>
      <c r="T59" s="12"/>
      <c r="U59" s="162"/>
    </row>
    <row r="60" spans="1:32" ht="4.5" customHeight="1" x14ac:dyDescent="0.2">
      <c r="A60" s="41"/>
      <c r="B60" s="42"/>
      <c r="C60" s="42"/>
      <c r="D60" s="42"/>
      <c r="E60" s="42"/>
      <c r="F60" s="42"/>
      <c r="G60" s="42"/>
      <c r="H60" s="43"/>
      <c r="I60" s="43"/>
      <c r="J60" s="43"/>
      <c r="K60" s="44"/>
      <c r="L60" s="43"/>
      <c r="M60" s="42"/>
      <c r="N60" s="42"/>
      <c r="O60" s="42"/>
      <c r="P60" s="42"/>
      <c r="Q60" s="42"/>
      <c r="R60" s="42"/>
      <c r="S60" s="43"/>
      <c r="T60" s="43"/>
      <c r="U60" s="45"/>
      <c r="AE60" s="121"/>
      <c r="AF60" s="181"/>
    </row>
  </sheetData>
  <sheetProtection password="DB27" sheet="1" selectLockedCells="1"/>
  <mergeCells count="66">
    <mergeCell ref="A1:D5"/>
    <mergeCell ref="S10:U10"/>
    <mergeCell ref="S11:U12"/>
    <mergeCell ref="C12:H12"/>
    <mergeCell ref="B10:K10"/>
    <mergeCell ref="E1:M2"/>
    <mergeCell ref="E3:M4"/>
    <mergeCell ref="E6:M7"/>
    <mergeCell ref="O10:P10"/>
    <mergeCell ref="O12:P12"/>
    <mergeCell ref="B59:G59"/>
    <mergeCell ref="M58:S58"/>
    <mergeCell ref="M59:S59"/>
    <mergeCell ref="L35:Q35"/>
    <mergeCell ref="L36:Q36"/>
    <mergeCell ref="B58:G58"/>
    <mergeCell ref="C52:U52"/>
    <mergeCell ref="A56:U56"/>
    <mergeCell ref="A55:U55"/>
    <mergeCell ref="O50:P50"/>
    <mergeCell ref="B35:F35"/>
    <mergeCell ref="L37:Q37"/>
    <mergeCell ref="A45:U45"/>
    <mergeCell ref="A42:F42"/>
    <mergeCell ref="A41:F41"/>
    <mergeCell ref="O47:P47"/>
    <mergeCell ref="A54:U54"/>
    <mergeCell ref="A53:U53"/>
    <mergeCell ref="B36:F36"/>
    <mergeCell ref="B37:F37"/>
    <mergeCell ref="M48:N48"/>
    <mergeCell ref="M49:N49"/>
    <mergeCell ref="M50:N50"/>
    <mergeCell ref="O48:P48"/>
    <mergeCell ref="O49:P49"/>
    <mergeCell ref="K41:Q41"/>
    <mergeCell ref="M46:N46"/>
    <mergeCell ref="M47:N47"/>
    <mergeCell ref="O46:P46"/>
    <mergeCell ref="K42:Q42"/>
    <mergeCell ref="L38:Q38"/>
    <mergeCell ref="B38:F38"/>
    <mergeCell ref="L18:Q18"/>
    <mergeCell ref="L15:U15"/>
    <mergeCell ref="B15:J15"/>
    <mergeCell ref="B30:J30"/>
    <mergeCell ref="B18:F18"/>
    <mergeCell ref="L23:Q23"/>
    <mergeCell ref="B23:F23"/>
    <mergeCell ref="B22:F22"/>
    <mergeCell ref="B20:F20"/>
    <mergeCell ref="B19:F19"/>
    <mergeCell ref="L21:Q21"/>
    <mergeCell ref="L22:Q22"/>
    <mergeCell ref="L19:Q19"/>
    <mergeCell ref="L20:Q20"/>
    <mergeCell ref="B21:F21"/>
    <mergeCell ref="B33:F33"/>
    <mergeCell ref="B34:F34"/>
    <mergeCell ref="K26:Q26"/>
    <mergeCell ref="A26:F26"/>
    <mergeCell ref="A27:F27"/>
    <mergeCell ref="K27:Q27"/>
    <mergeCell ref="L30:U30"/>
    <mergeCell ref="L33:Q33"/>
    <mergeCell ref="L34:Q34"/>
  </mergeCells>
  <phoneticPr fontId="0" type="noConversion"/>
  <conditionalFormatting sqref="T19:T23 I34:I38 I19:I23 T34:T38">
    <cfRule type="expression" dxfId="5" priority="5" stopIfTrue="1">
      <formula>I19=$Z$45</formula>
    </cfRule>
  </conditionalFormatting>
  <conditionalFormatting sqref="U33:U38 J19:J23 J33:J38 U19:U23">
    <cfRule type="expression" dxfId="4" priority="6" stopIfTrue="1">
      <formula>J19=$Z$45</formula>
    </cfRule>
  </conditionalFormatting>
  <conditionalFormatting sqref="S39:U39 H39:J39 S24:U24 H24:J24">
    <cfRule type="expression" dxfId="3" priority="7" stopIfTrue="1">
      <formula>$AF24=$AF$41</formula>
    </cfRule>
  </conditionalFormatting>
  <conditionalFormatting sqref="I33 I18 T18 T33">
    <cfRule type="expression" dxfId="2" priority="8" stopIfTrue="1">
      <formula>I18=$Z$45</formula>
    </cfRule>
  </conditionalFormatting>
  <conditionalFormatting sqref="J18 U18">
    <cfRule type="expression" dxfId="1" priority="9" stopIfTrue="1">
      <formula>J18=$Z$45</formula>
    </cfRule>
  </conditionalFormatting>
  <conditionalFormatting sqref="H33:H38 S33:S38 H18:H23 S18:S23">
    <cfRule type="expression" dxfId="0" priority="10" stopIfTrue="1">
      <formula>J18=$Z$45</formula>
    </cfRule>
  </conditionalFormatting>
  <conditionalFormatting sqref="S24:U24">
    <cfRule type="expression" priority="4" stopIfTrue="1">
      <formula>$AF$41=0</formula>
    </cfRule>
  </conditionalFormatting>
  <conditionalFormatting sqref="H24:J24">
    <cfRule type="expression" priority="3" stopIfTrue="1">
      <formula>$AF$41=0</formula>
    </cfRule>
  </conditionalFormatting>
  <conditionalFormatting sqref="S39:U39">
    <cfRule type="expression" priority="2" stopIfTrue="1">
      <formula>$AF$41=0</formula>
    </cfRule>
  </conditionalFormatting>
  <conditionalFormatting sqref="H39:J39">
    <cfRule type="expression" priority="1" stopIfTrue="1">
      <formula>$AF$41=0</formula>
    </cfRule>
  </conditionalFormatting>
  <dataValidations xWindow="423" yWindow="299" count="18">
    <dataValidation allowBlank="1" showInputMessage="1" showErrorMessage="1" promptTitle="A C H T U N G !!!" prompt="Bitte keine manuellen Eingaben machen!_x000a_Tabelle wird durch Makros beschrieben!_x000a_Wie? In der Menüleiste unter &quot;Kegelfunktionen&quot;. " sqref="AF36"/>
    <dataValidation allowBlank="1" showErrorMessage="1" sqref="P7:P8 P2:P5"/>
    <dataValidation type="whole" allowBlank="1" showInputMessage="1" showErrorMessage="1" errorTitle="A C H T U N G !!!" error="Üngültige Spiel-Nr.!_x000a__x000a_Es sind nur Werte zwischen 1 - 90 zugelassen" promptTitle="Eingabe der Spiel-Nr." prompt="Min.  Nr. = 1_x000a_Max. Nr. = 90" sqref="S1:U1">
      <formula1>1</formula1>
      <formula2>90</formula2>
    </dataValidation>
    <dataValidation allowBlank="1" showInputMessage="1" showErrorMessage="1" promptTitle="Eingabe &quot;Spielort&quot;" prompt="Stadt / Ort, ggf. Kegelbahnanlage" sqref="B10:K10"/>
    <dataValidation allowBlank="1" showErrorMessage="1" errorTitle="A C H T U N G !!!" error="Falscher Datumswert!" promptTitle="Eingabe des Spieldatums" prompt="Nur gültiger Datumseintrag möglich (01.01.2006 - 31.12.2020)" sqref="M13"/>
    <dataValidation allowBlank="1" sqref="A28:A32 G31:I31 Q12:R12 C28:G29 S25:U29 F31:F32 A25:A26 C31:E31 A1 H25:K29 B28:B31 C25:G25 E8:M9 J31:L32 U31:U32 L28:R29 I5:L5 E1 U8:U9 E5:E6 S8:T8 A6:D9 E3 N5:O9 B14:U14 M31:T31 L25:R25 T9 S9:S11"/>
    <dataValidation type="whole" allowBlank="1" showInputMessage="1" showErrorMessage="1" errorTitle="A C H T U N G !!!" error="Falsche Spielnummer!" promptTitle="Eingabe der Spielnummer" prompt="Nur Eingaben von 1 - 4 möglich!" sqref="N12:P12">
      <formula1>1</formula1>
      <formula2>4</formula2>
    </dataValidation>
    <dataValidation allowBlank="1" promptTitle="Eingabe &quot;Spielort&quot;" prompt="Stadt / Ort, ggf. Kegelbahnanlage" sqref="B12 K12:L12"/>
    <dataValidation allowBlank="1" errorTitle="A C H T U N G !!!" error="Üngültige Spiel-Nr.!_x000a__x000a_Es sind nur Werte zwischen 1 - 90 zugelassen" promptTitle="Eingabe der Spiel-Nr." prompt="Min.  Nr. = 1_x000a_Max. Nr. = 90" sqref="S13:U13"/>
    <dataValidation allowBlank="1" errorTitle="A C H T U N G !!!" error="G l e i c h e   H o l z z a h l e n !_x000a__x000a_Bitte dem höheren ZWP eine entsprechende Kommastelle hinzufügen (gleiche Holzzahl 800 z.B. 800,1)" sqref="K18:L23 A33:B38 A18:B23 K33:L38 U19:U23 S19:S23 S34:S38 U34:U38"/>
    <dataValidation allowBlank="1" showInputMessage="1" showErrorMessage="1" promptTitle="Automatisches Ausfüllen!" prompt="Diese Feld wird bei Eintrag der Clubnamen automatisch ausgefüllt." sqref="A47:A50"/>
    <dataValidation allowBlank="1" showInputMessage="1" showErrorMessage="1" promptTitle="Automatischer Eintrag!" prompt="Dieses Feld wird automatisch berechnet!" sqref="C24 C39 M39 H39:J39 S39:U39 S24:U24 M24:O24 H24:J24"/>
    <dataValidation allowBlank="1" showInputMessage="1" showErrorMessage="1" promptTitle="Automatischer Eintrag!" prompt="Dieses Feld wird automatisch berechnet!_x000a__x000a_Ergebnis wird nur angezeigt, wenn Spieltag eingetragen wurde!" sqref="K47:L50 U47:U50 S47:S50"/>
    <dataValidation allowBlank="1" showInputMessage="1" showErrorMessage="1" errorTitle="A c h t u n g !!!" error="Keine Zahl zwischen 1 - 4 !" promptTitle="Numerisches Feld" prompt="Eingabe der Zahlen 1 - 4 möglich!" sqref="T47:T50"/>
    <dataValidation type="date" allowBlank="1" showInputMessage="1" showErrorMessage="1" promptTitle="Eingabe &quot;Datum des Spiels&quot;" prompt="Eingabeformat: &quot;TT.MM.JJJJ&quot;" sqref="C12:J12">
      <formula1>40179</formula1>
      <formula2>44196</formula2>
    </dataValidation>
    <dataValidation type="custom" allowBlank="1" showInputMessage="1" errorTitle="ACHTUNG !!!" error="G l e i c h e   H o l z z a h l e n !_x000a__x000a_Bitte dem höheren Räumergebnis eine entsprechende Kommastelle hinzufügen (gleiche Holzzahl 800 z.B. 800,1)" sqref="H23:I23 H38:I38 T23 T38">
      <formula1>H23&lt;&gt;$Z$45</formula1>
    </dataValidation>
    <dataValidation type="whole" allowBlank="1" showInputMessage="1" showErrorMessage="1" errorTitle="A c h t u n g !!!" error="Keine Zahl zwischen 1 - 4 !" promptTitle="Numerisches Feld" prompt="Eingabe der Zahlen 0 - 4 möglich!" sqref="F47:J50">
      <formula1>0</formula1>
      <formula2>4</formula2>
    </dataValidation>
    <dataValidation type="whole" allowBlank="1" showInputMessage="1" showErrorMessage="1" errorTitle="A c h t u n g !!!" error="Die Eingabe ist keine Zahl zwischen 0 - 129 !" promptTitle="Numerisches Feld" prompt="Eingabe der Zahlen 0 - 129 möglich!" sqref="M47:R50">
      <formula1>0</formula1>
      <formula2>129</formula2>
    </dataValidation>
  </dataValidations>
  <printOptions horizontalCentered="1"/>
  <pageMargins left="0.78740157480314965" right="0.39370078740157483" top="0.59055118110236227" bottom="0.59055118110236227" header="0.23622047244094491" footer="0.39370078740157483"/>
  <pageSetup paperSize="9" scale="69" orientation="portrait" horizontalDpi="300" verticalDpi="300" r:id="rId1"/>
  <headerFooter alignWithMargins="0">
    <oddFooter>&amp;L&amp;8Dokument erstellt: &amp;"Arial,Fett Kursiv"Klaus Panthel / Walter Adolph Sektionssportwart&amp;CSpB m G&amp;R&amp;8Stand:&amp;"Arial,Kursiv" &amp;"Arial,Fett Kursiv"Januar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ilfe"/>
  <dimension ref="A1:E20"/>
  <sheetViews>
    <sheetView workbookViewId="0">
      <selection activeCell="H19" sqref="H19"/>
    </sheetView>
  </sheetViews>
  <sheetFormatPr baseColWidth="10" defaultRowHeight="12.75" x14ac:dyDescent="0.2"/>
  <cols>
    <col min="1" max="1" width="3.5703125" style="18" customWidth="1"/>
    <col min="2" max="2" width="24.5703125" style="19" customWidth="1"/>
    <col min="3" max="3" width="48.7109375" style="19" customWidth="1"/>
    <col min="4" max="4" width="58.85546875" style="19" customWidth="1"/>
    <col min="5" max="5" width="11.42578125" style="18"/>
  </cols>
  <sheetData>
    <row r="1" spans="1:5" ht="30" x14ac:dyDescent="0.2">
      <c r="A1" s="339" t="s">
        <v>44</v>
      </c>
      <c r="B1" s="340"/>
      <c r="C1" s="340"/>
      <c r="D1" s="341"/>
    </row>
    <row r="2" spans="1:5" x14ac:dyDescent="0.2">
      <c r="A2" s="27"/>
      <c r="B2" s="29" t="s">
        <v>16</v>
      </c>
      <c r="C2" s="29" t="s">
        <v>17</v>
      </c>
      <c r="D2" s="30" t="s">
        <v>24</v>
      </c>
    </row>
    <row r="3" spans="1:5" ht="206.25" customHeight="1" x14ac:dyDescent="0.2">
      <c r="A3" s="31">
        <f>ROW()-2</f>
        <v>1</v>
      </c>
      <c r="B3" s="32" t="s">
        <v>19</v>
      </c>
      <c r="C3" s="337" t="s">
        <v>78</v>
      </c>
      <c r="D3" s="338"/>
    </row>
    <row r="4" spans="1:5" ht="51" x14ac:dyDescent="0.2">
      <c r="A4" s="23">
        <f t="shared" ref="A4:A14" si="0">ROW()-2</f>
        <v>2</v>
      </c>
      <c r="B4" s="21" t="s">
        <v>4</v>
      </c>
      <c r="C4" s="21" t="s">
        <v>5</v>
      </c>
      <c r="D4" s="22" t="s">
        <v>0</v>
      </c>
      <c r="E4" s="16"/>
    </row>
    <row r="5" spans="1:5" ht="51" x14ac:dyDescent="0.2">
      <c r="A5" s="23">
        <f t="shared" si="0"/>
        <v>3</v>
      </c>
      <c r="B5" s="21" t="s">
        <v>6</v>
      </c>
      <c r="C5" s="21" t="s">
        <v>7</v>
      </c>
      <c r="D5" s="22"/>
      <c r="E5" s="16"/>
    </row>
    <row r="6" spans="1:5" ht="89.25" x14ac:dyDescent="0.2">
      <c r="A6" s="23">
        <f t="shared" si="0"/>
        <v>4</v>
      </c>
      <c r="B6" s="21" t="s">
        <v>80</v>
      </c>
      <c r="C6" s="21" t="s">
        <v>102</v>
      </c>
      <c r="D6" s="22"/>
      <c r="E6" s="16"/>
    </row>
    <row r="7" spans="1:5" ht="63.75" x14ac:dyDescent="0.2">
      <c r="A7" s="23">
        <f t="shared" si="0"/>
        <v>5</v>
      </c>
      <c r="B7" s="21" t="s">
        <v>15</v>
      </c>
      <c r="C7" s="21" t="s">
        <v>27</v>
      </c>
      <c r="D7" s="22" t="s">
        <v>0</v>
      </c>
      <c r="E7" s="16"/>
    </row>
    <row r="8" spans="1:5" ht="63.75" x14ac:dyDescent="0.2">
      <c r="A8" s="28">
        <f t="shared" si="0"/>
        <v>6</v>
      </c>
      <c r="B8" s="21" t="s">
        <v>45</v>
      </c>
      <c r="C8" s="21" t="s">
        <v>46</v>
      </c>
      <c r="D8" s="22" t="s">
        <v>18</v>
      </c>
      <c r="E8" s="16"/>
    </row>
    <row r="9" spans="1:5" ht="38.25" x14ac:dyDescent="0.2">
      <c r="A9" s="28">
        <f t="shared" si="0"/>
        <v>7</v>
      </c>
      <c r="B9" s="21" t="s">
        <v>20</v>
      </c>
      <c r="C9" s="21" t="s">
        <v>28</v>
      </c>
      <c r="D9" s="22" t="s">
        <v>21</v>
      </c>
      <c r="E9" s="17"/>
    </row>
    <row r="10" spans="1:5" ht="68.25" customHeight="1" x14ac:dyDescent="0.2">
      <c r="A10" s="28">
        <f t="shared" si="0"/>
        <v>8</v>
      </c>
      <c r="B10" s="21" t="s">
        <v>22</v>
      </c>
      <c r="C10" s="21" t="s">
        <v>47</v>
      </c>
      <c r="D10" s="22" t="s">
        <v>23</v>
      </c>
      <c r="E10" s="16"/>
    </row>
    <row r="11" spans="1:5" ht="63.75" x14ac:dyDescent="0.2">
      <c r="A11" s="28">
        <f t="shared" si="0"/>
        <v>9</v>
      </c>
      <c r="B11" s="21" t="s">
        <v>1</v>
      </c>
      <c r="C11" s="21" t="s">
        <v>2</v>
      </c>
      <c r="D11" s="22"/>
      <c r="E11" s="16"/>
    </row>
    <row r="12" spans="1:5" ht="25.5" x14ac:dyDescent="0.2">
      <c r="A12" s="28">
        <v>7</v>
      </c>
      <c r="B12" s="21" t="s">
        <v>8</v>
      </c>
      <c r="C12" s="239" t="s">
        <v>103</v>
      </c>
      <c r="D12" s="210"/>
      <c r="E12" s="16"/>
    </row>
    <row r="13" spans="1:5" ht="102" x14ac:dyDescent="0.2">
      <c r="A13" s="28">
        <f t="shared" si="0"/>
        <v>11</v>
      </c>
      <c r="B13" s="21" t="s">
        <v>25</v>
      </c>
      <c r="C13" s="21" t="s">
        <v>48</v>
      </c>
      <c r="D13" s="22" t="s">
        <v>26</v>
      </c>
      <c r="E13" s="16"/>
    </row>
    <row r="14" spans="1:5" ht="90" thickBot="1" x14ac:dyDescent="0.25">
      <c r="A14" s="24">
        <f t="shared" si="0"/>
        <v>12</v>
      </c>
      <c r="B14" s="25" t="s">
        <v>29</v>
      </c>
      <c r="C14" s="25" t="s">
        <v>101</v>
      </c>
      <c r="D14" s="26"/>
      <c r="E14" s="16"/>
    </row>
    <row r="15" spans="1:5" x14ac:dyDescent="0.2">
      <c r="A15" s="20"/>
      <c r="E15" s="16"/>
    </row>
    <row r="16" spans="1:5" x14ac:dyDescent="0.2">
      <c r="A16" s="20"/>
      <c r="E16" s="15"/>
    </row>
    <row r="17" spans="5:5" x14ac:dyDescent="0.2">
      <c r="E17" s="16"/>
    </row>
    <row r="18" spans="5:5" x14ac:dyDescent="0.2">
      <c r="E18" s="16"/>
    </row>
    <row r="19" spans="5:5" x14ac:dyDescent="0.2">
      <c r="E19" s="16"/>
    </row>
    <row r="20" spans="5:5" x14ac:dyDescent="0.2">
      <c r="E20" s="16"/>
    </row>
  </sheetData>
  <sheetProtection password="DB27" sheet="1"/>
  <mergeCells count="2">
    <mergeCell ref="C3:D3"/>
    <mergeCell ref="A1:D1"/>
  </mergeCells>
  <phoneticPr fontId="6" type="noConversion"/>
  <printOptions horizontalCentered="1"/>
  <pageMargins left="0.59055118110236227" right="0.59055118110236227" top="0.59055118110236227" bottom="0.78740157480314965"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17</vt:i4>
      </vt:variant>
    </vt:vector>
  </HeadingPairs>
  <TitlesOfParts>
    <vt:vector size="20" baseType="lpstr">
      <vt:lpstr>SpB m Gassen</vt:lpstr>
      <vt:lpstr>SpB</vt:lpstr>
      <vt:lpstr>Ausfüllhilfe</vt:lpstr>
      <vt:lpstr>BAHN</vt:lpstr>
      <vt:lpstr>BULI_AR</vt:lpstr>
      <vt:lpstr>BULI_DA</vt:lpstr>
      <vt:lpstr>BULI_HE_1</vt:lpstr>
      <vt:lpstr>BULI_HE_N</vt:lpstr>
      <vt:lpstr>BULI_HE_S</vt:lpstr>
      <vt:lpstr>BULI_MR</vt:lpstr>
      <vt:lpstr>SpB!Druckbereich</vt:lpstr>
      <vt:lpstr>'SpB m Gassen'!Druckbereich</vt:lpstr>
      <vt:lpstr>Ausfüllhilfe!Drucktitel</vt:lpstr>
      <vt:lpstr>GAST_1</vt:lpstr>
      <vt:lpstr>GAST_2</vt:lpstr>
      <vt:lpstr>GAST_3</vt:lpstr>
      <vt:lpstr>GASTGEBER</vt:lpstr>
      <vt:lpstr>SPIELDATUM</vt:lpstr>
      <vt:lpstr>SPIELORT</vt:lpstr>
      <vt:lpstr>SPNR</vt:lpstr>
    </vt:vector>
  </TitlesOfParts>
  <Company>RLP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Spielbericht Bundesliga</dc:title>
  <dc:creator>Klaus Panthel;Walter Adolph</dc:creator>
  <cp:lastModifiedBy>Walter</cp:lastModifiedBy>
  <cp:lastPrinted>2017-08-27T15:47:50Z</cp:lastPrinted>
  <dcterms:created xsi:type="dcterms:W3CDTF">2003-12-23T19:47:25Z</dcterms:created>
  <dcterms:modified xsi:type="dcterms:W3CDTF">2023-02-01T18:35:51Z</dcterms:modified>
</cp:coreProperties>
</file>